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M:\THE PALMS 2024\ACCOUNTING\FINANCIAL CONTROLLER\Strata AGM\Strata 2025\"/>
    </mc:Choice>
  </mc:AlternateContent>
  <xr:revisionPtr revIDLastSave="0" documentId="8_{50FFF044-991F-4F05-BD95-843A31048565}" xr6:coauthVersionLast="47" xr6:coauthVersionMax="47" xr10:uidLastSave="{00000000-0000-0000-0000-000000000000}"/>
  <bookViews>
    <workbookView xWindow="-108" yWindow="-108" windowWidth="23256" windowHeight="13896" tabRatio="809" firstSheet="14" activeTab="20" xr2:uid="{00000000-000D-0000-FFFF-FFFF00000000}"/>
  </bookViews>
  <sheets>
    <sheet name="NOT TO USE" sheetId="2" state="hidden" r:id="rId1"/>
    <sheet name="NOT TO USE." sheetId="1" state="hidden" r:id="rId2"/>
    <sheet name="P&amp;L Actual 2024" sheetId="23" r:id="rId3"/>
    <sheet name="Var 2024" sheetId="47" r:id="rId4"/>
    <sheet name="Bal Sheet Actual 2024    " sheetId="49" r:id="rId5"/>
    <sheet name="Capital 2024" sheetId="50" r:id="rId6"/>
    <sheet name="Major 2024" sheetId="51" r:id="rId7"/>
    <sheet name="Reserve Flow Actual 2024" sheetId="52" r:id="rId8"/>
    <sheet name="P&amp;L Q1 2025" sheetId="28" r:id="rId9"/>
    <sheet name="Var 2025" sheetId="48" r:id="rId10"/>
    <sheet name="Strata Fees Impact - 2025" sheetId="65" r:id="rId11"/>
    <sheet name="Bal Sheet Q1 2025" sheetId="53" r:id="rId12"/>
    <sheet name="Capital Q1 2025" sheetId="54" r:id="rId13"/>
    <sheet name="Major Q1 2025" sheetId="55" r:id="rId14"/>
    <sheet name="Reserve Flow Q1 2025" sheetId="56" r:id="rId15"/>
    <sheet name="Retained Earnings Q1 2025" sheetId="57" r:id="rId16"/>
    <sheet name="Insurance" sheetId="22" r:id="rId17"/>
    <sheet name="FUEL FACTOR  FORTIS" sheetId="33" r:id="rId18"/>
    <sheet name="P&amp;L Budget 2025" sheetId="58" r:id="rId19"/>
    <sheet name="Strata fees Breakdown" sheetId="67" r:id="rId20"/>
    <sheet name="Var Budget 2025" sheetId="66" r:id="rId21"/>
    <sheet name="Security " sheetId="68" r:id="rId22"/>
    <sheet name="Capital Budget 2025" sheetId="59" r:id="rId23"/>
    <sheet name="Major 2025 Budget.." sheetId="60" r:id="rId24"/>
    <sheet name="Reserve Flow Budget 2025" sheetId="61" r:id="rId25"/>
    <sheet name="Capex Detail.." sheetId="62" r:id="rId26"/>
  </sheets>
  <externalReferences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xlnm._FilterDatabase" localSheetId="3" hidden="1">'Var 2024'!$B$18:$D$29</definedName>
    <definedName name="_xlnm._FilterDatabase" localSheetId="9" hidden="1">'Var 2025'!$B$15:$D$26</definedName>
    <definedName name="Accrual_Days">[1]Flags!$B:$B</definedName>
    <definedName name="ACTACC">[1]PRJE!$H$1</definedName>
    <definedName name="Actual_Flag">[1]Flags!$A$1:$A$2</definedName>
    <definedName name="CHART">[2]Sheet1!$A:$B</definedName>
    <definedName name="DAYSTOACCRUE">#REF!</definedName>
    <definedName name="ENERO" localSheetId="25">#REF!</definedName>
    <definedName name="ENERO" localSheetId="22">#REF!</definedName>
    <definedName name="ENERO" localSheetId="23">#REF!</definedName>
    <definedName name="ENERO" localSheetId="18">#REF!</definedName>
    <definedName name="ENERO" localSheetId="24">#REF!</definedName>
    <definedName name="ENERO">#REF!</definedName>
    <definedName name="ENTITY">#REF!</definedName>
    <definedName name="LAST">#REF!</definedName>
    <definedName name="NMLKUPTABLE">[1]Flags!$G:$I</definedName>
    <definedName name="_xlnm.Print_Area" localSheetId="4">'Bal Sheet Actual 2024    '!$A$1:$I$57</definedName>
    <definedName name="_xlnm.Print_Area" localSheetId="11">'Bal Sheet Q1 2025'!$A$1:$I$57</definedName>
    <definedName name="_xlnm.Print_Area" localSheetId="5">'Capital 2024'!$A$1:$O$33</definedName>
    <definedName name="_xlnm.Print_Area" localSheetId="12">'Capital Q1 2025'!$A$1:$O$37</definedName>
    <definedName name="_xlnm.Print_Area" localSheetId="17">'FUEL FACTOR  FORTIS'!$B$2:$O$40</definedName>
    <definedName name="_xlnm.Print_Area" localSheetId="6">'Major 2024'!$B$2:$P$27</definedName>
    <definedName name="_xlnm.Print_Area" localSheetId="13">'Major Q1 2025'!$B$2:$P$19</definedName>
    <definedName name="_xlnm.Print_Area" localSheetId="1">'NOT TO USE.'!$A$1:$V$175</definedName>
    <definedName name="_xlnm.Print_Area" localSheetId="7">'Reserve Flow Actual 2024'!$A$1:$O$20</definedName>
    <definedName name="_xlnm.Print_Area" localSheetId="14">'Reserve Flow Q1 2025'!$A$1:$O$20</definedName>
    <definedName name="_xlnm.Print_Area" localSheetId="15">'Retained Earnings Q1 2025'!$A$1:$D$22</definedName>
    <definedName name="_xlnm.Print_Area" localSheetId="3">'Var 2024'!$A$2:$D$35</definedName>
    <definedName name="_xlnm.Print_Area" localSheetId="9">'Var 2025'!$A$2:$D$36</definedName>
    <definedName name="proplistshort">[2]Sheet1!$D$1:$D$24</definedName>
    <definedName name="PROPNAME">[1]Flags!$G:$G</definedName>
    <definedName name="spec">#REF!</definedName>
    <definedName name="TAB_MOIS" localSheetId="25">'[3]Income Statement'!#REF!</definedName>
    <definedName name="TAB_MOIS" localSheetId="5">#REF!</definedName>
    <definedName name="TAB_MOIS" localSheetId="22">'[3]Income Statement'!#REF!</definedName>
    <definedName name="TAB_MOIS" localSheetId="12">#REF!</definedName>
    <definedName name="TAB_MOIS" localSheetId="6">#REF!</definedName>
    <definedName name="TAB_MOIS" localSheetId="23">'[3]Income Statement'!#REF!</definedName>
    <definedName name="TAB_MOIS" localSheetId="13">#REF!</definedName>
    <definedName name="TAB_MOIS" localSheetId="18">'[3]Income Statement'!#REF!</definedName>
    <definedName name="TAB_MOIS" localSheetId="7">#REF!</definedName>
    <definedName name="TAB_MOIS" localSheetId="24">'[3]Income Statement'!#REF!</definedName>
    <definedName name="TAB_MOIS" localSheetId="14">#REF!</definedName>
    <definedName name="TAB_MOIS">'[4]Income Statement'!#REF!</definedName>
    <definedName name="YESNOCHOICE">[2]Sheet1!$D$1:$D$2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2" i="54" l="1"/>
  <c r="I32" i="54"/>
  <c r="I34" i="54"/>
  <c r="K8" i="54"/>
  <c r="I20" i="54"/>
  <c r="M8" i="54"/>
  <c r="M15" i="54"/>
  <c r="E12" i="66"/>
  <c r="C9" i="66"/>
  <c r="E11" i="66"/>
  <c r="D11" i="66"/>
  <c r="C11" i="66"/>
  <c r="E10" i="66"/>
  <c r="D9" i="66"/>
  <c r="F11" i="67"/>
  <c r="E11" i="67"/>
  <c r="F10" i="67"/>
  <c r="H8" i="67"/>
  <c r="H10" i="67" s="1"/>
  <c r="G8" i="67"/>
  <c r="F8" i="67"/>
  <c r="E8" i="67"/>
  <c r="E10" i="67" s="1"/>
  <c r="D8" i="67"/>
  <c r="D11" i="67" s="1"/>
  <c r="O7" i="67"/>
  <c r="N7" i="67"/>
  <c r="M7" i="67"/>
  <c r="L7" i="67"/>
  <c r="K7" i="67"/>
  <c r="J7" i="67"/>
  <c r="I7" i="67"/>
  <c r="H7" i="67"/>
  <c r="G7" i="67"/>
  <c r="F7" i="67"/>
  <c r="E7" i="67"/>
  <c r="D7" i="67"/>
  <c r="P7" i="67" s="1"/>
  <c r="H6" i="67"/>
  <c r="I6" i="67" s="1"/>
  <c r="P5" i="67"/>
  <c r="J6" i="67" l="1"/>
  <c r="I8" i="67"/>
  <c r="H11" i="67"/>
  <c r="G10" i="67"/>
  <c r="G11" i="67"/>
  <c r="D10" i="67"/>
  <c r="K6" i="67" l="1"/>
  <c r="J8" i="67"/>
  <c r="I11" i="67"/>
  <c r="I10" i="67"/>
  <c r="J11" i="67" l="1"/>
  <c r="J10" i="67"/>
  <c r="L6" i="67"/>
  <c r="K8" i="67"/>
  <c r="L8" i="67" l="1"/>
  <c r="M6" i="67"/>
  <c r="K10" i="67"/>
  <c r="K11" i="67"/>
  <c r="N6" i="67" l="1"/>
  <c r="M8" i="67"/>
  <c r="L11" i="67"/>
  <c r="L10" i="67"/>
  <c r="M11" i="67" l="1"/>
  <c r="M10" i="67"/>
  <c r="O6" i="67"/>
  <c r="O8" i="67" s="1"/>
  <c r="N8" i="67"/>
  <c r="P6" i="67"/>
  <c r="Q6" i="67" s="1"/>
  <c r="N11" i="67" l="1"/>
  <c r="N10" i="67"/>
  <c r="P8" i="67"/>
  <c r="O11" i="67"/>
  <c r="O10" i="67"/>
  <c r="P11" i="67" l="1"/>
  <c r="P10" i="67"/>
  <c r="E9" i="66" l="1"/>
  <c r="E14" i="66" s="1"/>
  <c r="E5" i="66"/>
  <c r="F5" i="66" s="1"/>
  <c r="D7" i="66"/>
  <c r="D14" i="66" s="1"/>
  <c r="C8" i="66"/>
  <c r="E8" i="66" s="1"/>
  <c r="C7" i="66"/>
  <c r="E7" i="66" s="1"/>
  <c r="D8" i="48"/>
  <c r="D9" i="48"/>
  <c r="D9" i="47"/>
  <c r="C8" i="47"/>
  <c r="C14" i="66" l="1"/>
  <c r="M8" i="55"/>
  <c r="M9" i="55"/>
  <c r="M10" i="55"/>
  <c r="M11" i="55"/>
  <c r="M12" i="55"/>
  <c r="M13" i="55"/>
  <c r="M14" i="55"/>
  <c r="M15" i="55"/>
  <c r="M16" i="55"/>
  <c r="M9" i="54"/>
  <c r="M10" i="54"/>
  <c r="M11" i="54"/>
  <c r="M12" i="54"/>
  <c r="M13" i="54"/>
  <c r="M14" i="54"/>
  <c r="M16" i="54"/>
  <c r="M17" i="54"/>
  <c r="M18" i="54"/>
  <c r="M19" i="54"/>
  <c r="M22" i="54"/>
  <c r="M24" i="54"/>
  <c r="M25" i="54"/>
  <c r="M26" i="54"/>
  <c r="M27" i="54"/>
  <c r="M28" i="54"/>
  <c r="M29" i="54"/>
  <c r="M30" i="54"/>
  <c r="M31" i="54"/>
  <c r="M32" i="54"/>
  <c r="G8" i="22" l="1"/>
  <c r="G7" i="22"/>
  <c r="G6" i="22"/>
  <c r="L150" i="58" l="1"/>
  <c r="L151" i="58"/>
  <c r="P22" i="33" l="1"/>
  <c r="C20" i="48" l="1"/>
  <c r="C24" i="48"/>
  <c r="D28" i="48"/>
  <c r="D33" i="48" s="1"/>
  <c r="C22" i="48"/>
  <c r="D29" i="48"/>
  <c r="C23" i="48"/>
  <c r="C21" i="48"/>
  <c r="C19" i="48"/>
  <c r="C20" i="47"/>
  <c r="D28" i="47"/>
  <c r="D27" i="47"/>
  <c r="C17" i="47"/>
  <c r="D10" i="48"/>
  <c r="C33" i="48" l="1"/>
  <c r="D4" i="62"/>
  <c r="E4" i="62" s="1"/>
  <c r="D5" i="62"/>
  <c r="E5" i="62"/>
  <c r="D6" i="62"/>
  <c r="E6" i="62" s="1"/>
  <c r="D7" i="62"/>
  <c r="E7" i="62"/>
  <c r="D8" i="62"/>
  <c r="E8" i="62"/>
  <c r="D9" i="62"/>
  <c r="E9" i="62"/>
  <c r="D15" i="62"/>
  <c r="E15" i="62" s="1"/>
  <c r="E18" i="62" s="1"/>
  <c r="D16" i="62"/>
  <c r="E16" i="62"/>
  <c r="E17" i="62"/>
  <c r="D22" i="62"/>
  <c r="E22" i="62"/>
  <c r="E26" i="62" s="1"/>
  <c r="D23" i="62"/>
  <c r="E23" i="62"/>
  <c r="D24" i="62"/>
  <c r="E24" i="62"/>
  <c r="D25" i="62"/>
  <c r="E25" i="62" s="1"/>
  <c r="D26" i="47"/>
  <c r="D32" i="47" s="1"/>
  <c r="E11" i="62" l="1"/>
  <c r="C21" i="47" l="1"/>
  <c r="C18" i="47" l="1"/>
  <c r="C32" i="47" s="1"/>
  <c r="C10" i="47"/>
  <c r="N12" i="61"/>
  <c r="M12" i="61"/>
  <c r="M14" i="61" s="1"/>
  <c r="O10" i="61"/>
  <c r="N8" i="61"/>
  <c r="N14" i="61" s="1"/>
  <c r="G14" i="60"/>
  <c r="E14" i="60"/>
  <c r="M13" i="60"/>
  <c r="K13" i="60"/>
  <c r="M12" i="60"/>
  <c r="I12" i="60"/>
  <c r="K12" i="60" s="1"/>
  <c r="M11" i="60"/>
  <c r="K11" i="60"/>
  <c r="I11" i="60"/>
  <c r="M10" i="60"/>
  <c r="K10" i="60"/>
  <c r="I10" i="60"/>
  <c r="M9" i="60"/>
  <c r="I9" i="60"/>
  <c r="K9" i="60" s="1"/>
  <c r="M8" i="60"/>
  <c r="I8" i="60"/>
  <c r="K8" i="60" s="1"/>
  <c r="M7" i="60"/>
  <c r="M14" i="60" s="1"/>
  <c r="E7" i="60"/>
  <c r="I7" i="60" s="1"/>
  <c r="G33" i="59"/>
  <c r="K32" i="59"/>
  <c r="M31" i="59"/>
  <c r="K31" i="59"/>
  <c r="I31" i="59"/>
  <c r="M30" i="59"/>
  <c r="K30" i="59"/>
  <c r="M29" i="59"/>
  <c r="E29" i="59"/>
  <c r="M28" i="59"/>
  <c r="K28" i="59"/>
  <c r="M27" i="59"/>
  <c r="K27" i="59"/>
  <c r="I27" i="59"/>
  <c r="M26" i="59"/>
  <c r="K26" i="59"/>
  <c r="I26" i="59"/>
  <c r="M25" i="59"/>
  <c r="K25" i="59"/>
  <c r="I25" i="59"/>
  <c r="M24" i="59"/>
  <c r="K24" i="59"/>
  <c r="I24" i="59"/>
  <c r="M23" i="59"/>
  <c r="M22" i="59"/>
  <c r="K22" i="59"/>
  <c r="I22" i="59"/>
  <c r="E21" i="59"/>
  <c r="E33" i="59" s="1"/>
  <c r="M20" i="59"/>
  <c r="K20" i="59"/>
  <c r="I20" i="59"/>
  <c r="M19" i="59"/>
  <c r="K19" i="59"/>
  <c r="I19" i="59"/>
  <c r="M18" i="59"/>
  <c r="K18" i="59"/>
  <c r="I18" i="59"/>
  <c r="M17" i="59"/>
  <c r="K17" i="59"/>
  <c r="M16" i="59"/>
  <c r="M15" i="59"/>
  <c r="M14" i="59"/>
  <c r="M13" i="59"/>
  <c r="K13" i="59"/>
  <c r="E13" i="59"/>
  <c r="M12" i="59"/>
  <c r="K12" i="59"/>
  <c r="M11" i="59"/>
  <c r="K11" i="59"/>
  <c r="M10" i="59"/>
  <c r="K10" i="59"/>
  <c r="I10" i="59"/>
  <c r="M9" i="59"/>
  <c r="K9" i="59"/>
  <c r="I9" i="59"/>
  <c r="M8" i="59"/>
  <c r="K8" i="59"/>
  <c r="I8" i="59"/>
  <c r="G164" i="58"/>
  <c r="F164" i="58"/>
  <c r="E164" i="58"/>
  <c r="D164" i="58"/>
  <c r="L163" i="58"/>
  <c r="M163" i="58" s="1"/>
  <c r="I163" i="58"/>
  <c r="J163" i="58" s="1"/>
  <c r="L162" i="58"/>
  <c r="M162" i="58" s="1"/>
  <c r="I162" i="58"/>
  <c r="J162" i="58" s="1"/>
  <c r="L161" i="58"/>
  <c r="M161" i="58" s="1"/>
  <c r="I161" i="58"/>
  <c r="J161" i="58" s="1"/>
  <c r="L160" i="58"/>
  <c r="J160" i="58"/>
  <c r="I160" i="58"/>
  <c r="E160" i="58"/>
  <c r="D160" i="58"/>
  <c r="G152" i="58"/>
  <c r="F152" i="58"/>
  <c r="E152" i="58"/>
  <c r="D152" i="58"/>
  <c r="L152" i="58" s="1"/>
  <c r="M152" i="58" s="1"/>
  <c r="I151" i="58"/>
  <c r="I150" i="58"/>
  <c r="L149" i="58"/>
  <c r="M149" i="58" s="1"/>
  <c r="I149" i="58"/>
  <c r="L145" i="58"/>
  <c r="I145" i="58"/>
  <c r="L144" i="58"/>
  <c r="I144" i="58"/>
  <c r="L143" i="58"/>
  <c r="I143" i="58"/>
  <c r="G142" i="58"/>
  <c r="G146" i="58" s="1"/>
  <c r="G155" i="58" s="1"/>
  <c r="F142" i="58"/>
  <c r="F146" i="58" s="1"/>
  <c r="E142" i="58"/>
  <c r="E146" i="58" s="1"/>
  <c r="D142" i="58"/>
  <c r="L141" i="58"/>
  <c r="M141" i="58" s="1"/>
  <c r="I141" i="58"/>
  <c r="J141" i="58" s="1"/>
  <c r="L140" i="58"/>
  <c r="M140" i="58" s="1"/>
  <c r="I140" i="58"/>
  <c r="J140" i="58" s="1"/>
  <c r="L139" i="58"/>
  <c r="M139" i="58" s="1"/>
  <c r="I139" i="58"/>
  <c r="J139" i="58" s="1"/>
  <c r="L138" i="58"/>
  <c r="M138" i="58" s="1"/>
  <c r="I138" i="58"/>
  <c r="J138" i="58" s="1"/>
  <c r="L136" i="58"/>
  <c r="J136" i="58"/>
  <c r="I136" i="58"/>
  <c r="E136" i="58"/>
  <c r="D136" i="58"/>
  <c r="G128" i="58"/>
  <c r="F128" i="58"/>
  <c r="E128" i="58"/>
  <c r="L127" i="58"/>
  <c r="M127" i="58" s="1"/>
  <c r="I127" i="58"/>
  <c r="J127" i="58" s="1"/>
  <c r="L126" i="58"/>
  <c r="M126" i="58" s="1"/>
  <c r="I126" i="58"/>
  <c r="J126" i="58" s="1"/>
  <c r="L125" i="58"/>
  <c r="M125" i="58" s="1"/>
  <c r="I125" i="58"/>
  <c r="J125" i="58" s="1"/>
  <c r="L124" i="58"/>
  <c r="M124" i="58" s="1"/>
  <c r="I124" i="58"/>
  <c r="J124" i="58" s="1"/>
  <c r="L123" i="58"/>
  <c r="I123" i="58"/>
  <c r="L122" i="58"/>
  <c r="M122" i="58" s="1"/>
  <c r="I122" i="58"/>
  <c r="J122" i="58" s="1"/>
  <c r="L121" i="58"/>
  <c r="M121" i="58" s="1"/>
  <c r="I121" i="58"/>
  <c r="J121" i="58" s="1"/>
  <c r="L120" i="58"/>
  <c r="M120" i="58" s="1"/>
  <c r="I120" i="58"/>
  <c r="J120" i="58" s="1"/>
  <c r="L119" i="58"/>
  <c r="M119" i="58" s="1"/>
  <c r="I119" i="58"/>
  <c r="J119" i="58" s="1"/>
  <c r="D118" i="58"/>
  <c r="I118" i="58" s="1"/>
  <c r="J118" i="58" s="1"/>
  <c r="L117" i="58"/>
  <c r="M117" i="58" s="1"/>
  <c r="I117" i="58"/>
  <c r="J117" i="58" s="1"/>
  <c r="G114" i="58"/>
  <c r="F114" i="58"/>
  <c r="E114" i="58"/>
  <c r="D114" i="58"/>
  <c r="L113" i="58"/>
  <c r="I113" i="58"/>
  <c r="L112" i="58"/>
  <c r="M112" i="58" s="1"/>
  <c r="I112" i="58"/>
  <c r="J112" i="58" s="1"/>
  <c r="L111" i="58"/>
  <c r="M111" i="58" s="1"/>
  <c r="I111" i="58"/>
  <c r="J111" i="58" s="1"/>
  <c r="L110" i="58"/>
  <c r="M110" i="58" s="1"/>
  <c r="I110" i="58"/>
  <c r="J110" i="58" s="1"/>
  <c r="L109" i="58"/>
  <c r="M109" i="58" s="1"/>
  <c r="I109" i="58"/>
  <c r="J109" i="58" s="1"/>
  <c r="L108" i="58"/>
  <c r="M108" i="58" s="1"/>
  <c r="I108" i="58"/>
  <c r="J108" i="58" s="1"/>
  <c r="L107" i="58"/>
  <c r="M107" i="58" s="1"/>
  <c r="I107" i="58"/>
  <c r="J107" i="58" s="1"/>
  <c r="L106" i="58"/>
  <c r="J106" i="58"/>
  <c r="I106" i="58"/>
  <c r="E106" i="58"/>
  <c r="D106" i="58"/>
  <c r="G99" i="58"/>
  <c r="F99" i="58"/>
  <c r="E99" i="58"/>
  <c r="D99" i="58"/>
  <c r="L98" i="58"/>
  <c r="M98" i="58" s="1"/>
  <c r="I98" i="58"/>
  <c r="J98" i="58" s="1"/>
  <c r="L97" i="58"/>
  <c r="M97" i="58" s="1"/>
  <c r="I97" i="58"/>
  <c r="J97" i="58" s="1"/>
  <c r="L96" i="58"/>
  <c r="M96" i="58" s="1"/>
  <c r="I96" i="58"/>
  <c r="J96" i="58" s="1"/>
  <c r="L95" i="58"/>
  <c r="M95" i="58" s="1"/>
  <c r="I95" i="58"/>
  <c r="J95" i="58" s="1"/>
  <c r="L94" i="58"/>
  <c r="M94" i="58" s="1"/>
  <c r="I94" i="58"/>
  <c r="J94" i="58" s="1"/>
  <c r="L93" i="58"/>
  <c r="M93" i="58" s="1"/>
  <c r="I93" i="58"/>
  <c r="J93" i="58" s="1"/>
  <c r="L92" i="58"/>
  <c r="M92" i="58" s="1"/>
  <c r="I92" i="58"/>
  <c r="J92" i="58" s="1"/>
  <c r="L91" i="58"/>
  <c r="M91" i="58" s="1"/>
  <c r="I91" i="58"/>
  <c r="L90" i="58"/>
  <c r="M90" i="58" s="1"/>
  <c r="I90" i="58"/>
  <c r="J90" i="58" s="1"/>
  <c r="L89" i="58"/>
  <c r="M89" i="58" s="1"/>
  <c r="I89" i="58"/>
  <c r="J89" i="58" s="1"/>
  <c r="L88" i="58"/>
  <c r="M88" i="58" s="1"/>
  <c r="I88" i="58"/>
  <c r="J88" i="58" s="1"/>
  <c r="L87" i="58"/>
  <c r="M87" i="58" s="1"/>
  <c r="I87" i="58"/>
  <c r="J87" i="58" s="1"/>
  <c r="L86" i="58"/>
  <c r="I86" i="58"/>
  <c r="L85" i="58"/>
  <c r="M85" i="58" s="1"/>
  <c r="I85" i="58"/>
  <c r="J85" i="58" s="1"/>
  <c r="L84" i="58"/>
  <c r="M84" i="58" s="1"/>
  <c r="I84" i="58"/>
  <c r="J84" i="58" s="1"/>
  <c r="L83" i="58"/>
  <c r="M83" i="58" s="1"/>
  <c r="I83" i="58"/>
  <c r="J83" i="58" s="1"/>
  <c r="G80" i="58"/>
  <c r="F80" i="58"/>
  <c r="F102" i="58" s="1"/>
  <c r="E80" i="58"/>
  <c r="D80" i="58"/>
  <c r="L79" i="58"/>
  <c r="I79" i="58"/>
  <c r="L78" i="58"/>
  <c r="M78" i="58" s="1"/>
  <c r="I78" i="58"/>
  <c r="J78" i="58" s="1"/>
  <c r="L77" i="58"/>
  <c r="M77" i="58" s="1"/>
  <c r="I77" i="58"/>
  <c r="J77" i="58" s="1"/>
  <c r="L76" i="58"/>
  <c r="M76" i="58" s="1"/>
  <c r="I76" i="58"/>
  <c r="J76" i="58" s="1"/>
  <c r="L75" i="58"/>
  <c r="M75" i="58" s="1"/>
  <c r="I75" i="58"/>
  <c r="J75" i="58" s="1"/>
  <c r="L74" i="58"/>
  <c r="M74" i="58" s="1"/>
  <c r="I74" i="58"/>
  <c r="J74" i="58" s="1"/>
  <c r="L73" i="58"/>
  <c r="M73" i="58" s="1"/>
  <c r="I73" i="58"/>
  <c r="J73" i="58" s="1"/>
  <c r="L72" i="58"/>
  <c r="M72" i="58" s="1"/>
  <c r="I72" i="58"/>
  <c r="J72" i="58" s="1"/>
  <c r="L71" i="58"/>
  <c r="M71" i="58" s="1"/>
  <c r="I71" i="58"/>
  <c r="J71" i="58" s="1"/>
  <c r="L70" i="58"/>
  <c r="J70" i="58"/>
  <c r="I70" i="58"/>
  <c r="E70" i="58"/>
  <c r="D70" i="58"/>
  <c r="G62" i="58"/>
  <c r="F62" i="58"/>
  <c r="E62" i="58"/>
  <c r="D61" i="58"/>
  <c r="I61" i="58" s="1"/>
  <c r="J61" i="58" s="1"/>
  <c r="D60" i="58"/>
  <c r="I60" i="58" s="1"/>
  <c r="J60" i="58" s="1"/>
  <c r="D59" i="58"/>
  <c r="I59" i="58" s="1"/>
  <c r="J59" i="58" s="1"/>
  <c r="D58" i="58"/>
  <c r="I58" i="58" s="1"/>
  <c r="J58" i="58" s="1"/>
  <c r="D57" i="58"/>
  <c r="I57" i="58" s="1"/>
  <c r="J57" i="58" s="1"/>
  <c r="D56" i="58"/>
  <c r="I56" i="58" s="1"/>
  <c r="J56" i="58" s="1"/>
  <c r="D55" i="58"/>
  <c r="I55" i="58" s="1"/>
  <c r="J55" i="58" s="1"/>
  <c r="D54" i="58"/>
  <c r="I54" i="58" s="1"/>
  <c r="J54" i="58" s="1"/>
  <c r="D53" i="58"/>
  <c r="G50" i="58"/>
  <c r="F50" i="58"/>
  <c r="E50" i="58"/>
  <c r="L49" i="58"/>
  <c r="I49" i="58"/>
  <c r="D48" i="58"/>
  <c r="L48" i="58" s="1"/>
  <c r="M48" i="58" s="1"/>
  <c r="L47" i="58"/>
  <c r="I47" i="58"/>
  <c r="L46" i="58"/>
  <c r="I46" i="58"/>
  <c r="D45" i="58"/>
  <c r="D44" i="58"/>
  <c r="D43" i="58"/>
  <c r="G40" i="58"/>
  <c r="F40" i="58"/>
  <c r="E40" i="58"/>
  <c r="D39" i="58"/>
  <c r="I39" i="58" s="1"/>
  <c r="J39" i="58" s="1"/>
  <c r="D38" i="58"/>
  <c r="I38" i="58" s="1"/>
  <c r="J38" i="58" s="1"/>
  <c r="D37" i="58"/>
  <c r="I37" i="58" s="1"/>
  <c r="J37" i="58" s="1"/>
  <c r="D36" i="58"/>
  <c r="I36" i="58" s="1"/>
  <c r="J36" i="58" s="1"/>
  <c r="D35" i="58"/>
  <c r="I35" i="58" s="1"/>
  <c r="J35" i="58" s="1"/>
  <c r="D34" i="58"/>
  <c r="I34" i="58" s="1"/>
  <c r="J34" i="58" s="1"/>
  <c r="D33" i="58"/>
  <c r="I33" i="58" s="1"/>
  <c r="J33" i="58" s="1"/>
  <c r="D32" i="58"/>
  <c r="I32" i="58" s="1"/>
  <c r="J32" i="58" s="1"/>
  <c r="D31" i="58"/>
  <c r="I31" i="58" s="1"/>
  <c r="J31" i="58" s="1"/>
  <c r="L30" i="58"/>
  <c r="J30" i="58"/>
  <c r="I30" i="58"/>
  <c r="E30" i="58"/>
  <c r="D30" i="58"/>
  <c r="L24" i="58"/>
  <c r="I24" i="58"/>
  <c r="G23" i="58"/>
  <c r="F23" i="58"/>
  <c r="E23" i="58"/>
  <c r="D23" i="58"/>
  <c r="L22" i="58"/>
  <c r="M22" i="58" s="1"/>
  <c r="I22" i="58"/>
  <c r="J22" i="58" s="1"/>
  <c r="L21" i="58"/>
  <c r="M21" i="58" s="1"/>
  <c r="I21" i="58"/>
  <c r="L20" i="58"/>
  <c r="M20" i="58" s="1"/>
  <c r="I20" i="58"/>
  <c r="J20" i="58" s="1"/>
  <c r="L19" i="58"/>
  <c r="I19" i="58"/>
  <c r="G18" i="58"/>
  <c r="F18" i="58"/>
  <c r="E18" i="58"/>
  <c r="D18" i="58"/>
  <c r="L17" i="58"/>
  <c r="I17" i="58"/>
  <c r="L16" i="58"/>
  <c r="M16" i="58" s="1"/>
  <c r="I16" i="58"/>
  <c r="J16" i="58" s="1"/>
  <c r="L15" i="58"/>
  <c r="M15" i="58" s="1"/>
  <c r="I15" i="58"/>
  <c r="J15" i="58" s="1"/>
  <c r="L14" i="58"/>
  <c r="I14" i="58"/>
  <c r="G13" i="58"/>
  <c r="F13" i="58"/>
  <c r="E13" i="58"/>
  <c r="D12" i="58"/>
  <c r="I12" i="58" s="1"/>
  <c r="J12" i="58" s="1"/>
  <c r="D11" i="58"/>
  <c r="I11" i="58" s="1"/>
  <c r="J11" i="58" s="1"/>
  <c r="D10" i="58"/>
  <c r="D9" i="58"/>
  <c r="D8" i="58"/>
  <c r="I8" i="58" s="1"/>
  <c r="J8" i="58" s="1"/>
  <c r="L7" i="58"/>
  <c r="I7" i="58"/>
  <c r="G6" i="58"/>
  <c r="F6" i="58"/>
  <c r="E6" i="58"/>
  <c r="D5" i="58"/>
  <c r="D6" i="58" s="1"/>
  <c r="I164" i="58" l="1"/>
  <c r="J164" i="58" s="1"/>
  <c r="O14" i="61"/>
  <c r="L118" i="58"/>
  <c r="M118" i="58" s="1"/>
  <c r="L8" i="58"/>
  <c r="M8" i="58" s="1"/>
  <c r="D128" i="58"/>
  <c r="I128" i="58" s="1"/>
  <c r="J128" i="58" s="1"/>
  <c r="O8" i="61"/>
  <c r="O12" i="61"/>
  <c r="I14" i="60"/>
  <c r="K7" i="60"/>
  <c r="K14" i="60" s="1"/>
  <c r="I21" i="59"/>
  <c r="I33" i="59" s="1"/>
  <c r="K21" i="59"/>
  <c r="K33" i="59" s="1"/>
  <c r="M21" i="59"/>
  <c r="M33" i="59" s="1"/>
  <c r="L61" i="58"/>
  <c r="M61" i="58" s="1"/>
  <c r="L5" i="58"/>
  <c r="M5" i="58" s="1"/>
  <c r="I18" i="58"/>
  <c r="I23" i="58"/>
  <c r="I6" i="58"/>
  <c r="J6" i="58" s="1"/>
  <c r="L35" i="58"/>
  <c r="M35" i="58" s="1"/>
  <c r="L33" i="58"/>
  <c r="M33" i="58" s="1"/>
  <c r="D62" i="58"/>
  <c r="I62" i="58" s="1"/>
  <c r="J62" i="58" s="1"/>
  <c r="L57" i="58"/>
  <c r="M57" i="58" s="1"/>
  <c r="G102" i="58"/>
  <c r="F25" i="58"/>
  <c r="L31" i="58"/>
  <c r="M31" i="58" s="1"/>
  <c r="L55" i="58"/>
  <c r="M55" i="58" s="1"/>
  <c r="F155" i="58"/>
  <c r="L36" i="58"/>
  <c r="M36" i="58" s="1"/>
  <c r="L59" i="58"/>
  <c r="M59" i="58" s="1"/>
  <c r="L12" i="58"/>
  <c r="M12" i="58" s="1"/>
  <c r="I5" i="58"/>
  <c r="J5" i="58" s="1"/>
  <c r="I152" i="58"/>
  <c r="J152" i="58" s="1"/>
  <c r="L53" i="58"/>
  <c r="M53" i="58" s="1"/>
  <c r="L39" i="58"/>
  <c r="M39" i="58" s="1"/>
  <c r="D40" i="58"/>
  <c r="L40" i="58" s="1"/>
  <c r="M40" i="58" s="1"/>
  <c r="I48" i="58"/>
  <c r="J48" i="58" s="1"/>
  <c r="L56" i="58"/>
  <c r="M56" i="58" s="1"/>
  <c r="L60" i="58"/>
  <c r="M60" i="58" s="1"/>
  <c r="F131" i="58"/>
  <c r="L32" i="58"/>
  <c r="M32" i="58" s="1"/>
  <c r="L34" i="58"/>
  <c r="M34" i="58" s="1"/>
  <c r="L58" i="58"/>
  <c r="M58" i="58" s="1"/>
  <c r="G131" i="58"/>
  <c r="L23" i="58"/>
  <c r="L37" i="58"/>
  <c r="M37" i="58" s="1"/>
  <c r="G65" i="58"/>
  <c r="L54" i="58"/>
  <c r="M54" i="58" s="1"/>
  <c r="L6" i="58"/>
  <c r="M6" i="58" s="1"/>
  <c r="L11" i="58"/>
  <c r="M11" i="58" s="1"/>
  <c r="E102" i="58"/>
  <c r="L164" i="58"/>
  <c r="M164" i="58" s="1"/>
  <c r="L18" i="58"/>
  <c r="L38" i="58"/>
  <c r="M38" i="58" s="1"/>
  <c r="D131" i="58"/>
  <c r="L114" i="58"/>
  <c r="M114" i="58" s="1"/>
  <c r="I114" i="58"/>
  <c r="L80" i="58"/>
  <c r="M80" i="58" s="1"/>
  <c r="D102" i="58"/>
  <c r="I80" i="58"/>
  <c r="J80" i="58" s="1"/>
  <c r="E131" i="58"/>
  <c r="L128" i="58"/>
  <c r="M128" i="58" s="1"/>
  <c r="I9" i="58"/>
  <c r="J9" i="58" s="1"/>
  <c r="L9" i="58"/>
  <c r="M9" i="58" s="1"/>
  <c r="D13" i="58"/>
  <c r="L43" i="58"/>
  <c r="M43" i="58" s="1"/>
  <c r="I43" i="58"/>
  <c r="J43" i="58" s="1"/>
  <c r="D50" i="58"/>
  <c r="I10" i="58"/>
  <c r="J10" i="58" s="1"/>
  <c r="L10" i="58"/>
  <c r="M10" i="58" s="1"/>
  <c r="J21" i="58"/>
  <c r="E155" i="58"/>
  <c r="E25" i="58"/>
  <c r="E65" i="58"/>
  <c r="F65" i="58"/>
  <c r="I142" i="58"/>
  <c r="J142" i="58" s="1"/>
  <c r="L142" i="58"/>
  <c r="M142" i="58" s="1"/>
  <c r="G25" i="58"/>
  <c r="L45" i="58"/>
  <c r="M45" i="58" s="1"/>
  <c r="I45" i="58"/>
  <c r="J45" i="58" s="1"/>
  <c r="D146" i="58"/>
  <c r="L44" i="58"/>
  <c r="M44" i="58" s="1"/>
  <c r="I44" i="58"/>
  <c r="J44" i="58" s="1"/>
  <c r="L99" i="58"/>
  <c r="M99" i="58" s="1"/>
  <c r="I99" i="58"/>
  <c r="J99" i="58" s="1"/>
  <c r="I53" i="58"/>
  <c r="J53" i="58" s="1"/>
  <c r="L62" i="58" l="1"/>
  <c r="M62" i="58" s="1"/>
  <c r="D65" i="58"/>
  <c r="L65" i="58" s="1"/>
  <c r="M65" i="58" s="1"/>
  <c r="I40" i="58"/>
  <c r="J40" i="58" s="1"/>
  <c r="L102" i="58"/>
  <c r="M102" i="58" s="1"/>
  <c r="I102" i="58"/>
  <c r="J102" i="58" s="1"/>
  <c r="I50" i="58"/>
  <c r="J50" i="58" s="1"/>
  <c r="L50" i="58"/>
  <c r="M50" i="58" s="1"/>
  <c r="J114" i="58"/>
  <c r="L146" i="58"/>
  <c r="M146" i="58" s="1"/>
  <c r="D155" i="58"/>
  <c r="I146" i="58"/>
  <c r="J146" i="58" s="1"/>
  <c r="L131" i="58"/>
  <c r="M131" i="58" s="1"/>
  <c r="I131" i="58"/>
  <c r="J131" i="58" s="1"/>
  <c r="L13" i="58"/>
  <c r="M13" i="58" s="1"/>
  <c r="I13" i="58"/>
  <c r="J13" i="58" s="1"/>
  <c r="D25" i="58"/>
  <c r="I65" i="58" l="1"/>
  <c r="J65" i="58" s="1"/>
  <c r="I25" i="58"/>
  <c r="J25" i="58" s="1"/>
  <c r="L25" i="58"/>
  <c r="M25" i="58" s="1"/>
  <c r="L155" i="58"/>
  <c r="M155" i="58" s="1"/>
  <c r="I155" i="58"/>
  <c r="J155" i="58" s="1"/>
  <c r="D41" i="33" l="1"/>
  <c r="E41" i="33"/>
  <c r="F41" i="33"/>
  <c r="G41" i="33"/>
  <c r="H41" i="33"/>
  <c r="I41" i="33"/>
  <c r="J41" i="33"/>
  <c r="K41" i="33"/>
  <c r="L41" i="33"/>
  <c r="M41" i="33"/>
  <c r="N41" i="33"/>
  <c r="C41" i="33"/>
  <c r="G40" i="33"/>
  <c r="O22" i="33"/>
  <c r="O41" i="33" s="1"/>
  <c r="C15" i="57" l="1"/>
  <c r="C14" i="57"/>
  <c r="C8" i="57"/>
  <c r="C9" i="57" s="1"/>
  <c r="C17" i="57" s="1"/>
  <c r="N18" i="56" l="1"/>
  <c r="M18" i="56"/>
  <c r="N16" i="56"/>
  <c r="M16" i="56"/>
  <c r="O16" i="56" s="1"/>
  <c r="N12" i="56"/>
  <c r="M12" i="56"/>
  <c r="N10" i="56"/>
  <c r="M10" i="56"/>
  <c r="M14" i="56" s="1"/>
  <c r="N8" i="56"/>
  <c r="M8" i="56"/>
  <c r="O8" i="56" s="1"/>
  <c r="G17" i="55"/>
  <c r="K16" i="55"/>
  <c r="K15" i="55"/>
  <c r="K14" i="55"/>
  <c r="I13" i="55"/>
  <c r="I12" i="55"/>
  <c r="K12" i="55" s="1"/>
  <c r="K11" i="55"/>
  <c r="I11" i="55"/>
  <c r="I10" i="55"/>
  <c r="K10" i="55" s="1"/>
  <c r="I9" i="55"/>
  <c r="K9" i="55" s="1"/>
  <c r="I8" i="55"/>
  <c r="K8" i="55" s="1"/>
  <c r="G8" i="55"/>
  <c r="E7" i="55"/>
  <c r="E17" i="55" s="1"/>
  <c r="G32" i="54"/>
  <c r="I31" i="54"/>
  <c r="K31" i="54" s="1"/>
  <c r="I30" i="54"/>
  <c r="K30" i="54" s="1"/>
  <c r="E29" i="54"/>
  <c r="I29" i="54" s="1"/>
  <c r="K29" i="54" s="1"/>
  <c r="I28" i="54"/>
  <c r="K28" i="54" s="1"/>
  <c r="I27" i="54"/>
  <c r="K27" i="54" s="1"/>
  <c r="I26" i="54"/>
  <c r="K26" i="54" s="1"/>
  <c r="I25" i="54"/>
  <c r="K25" i="54" s="1"/>
  <c r="I24" i="54"/>
  <c r="K24" i="54" s="1"/>
  <c r="K23" i="54"/>
  <c r="M23" i="54" s="1"/>
  <c r="G22" i="54"/>
  <c r="E22" i="54"/>
  <c r="G21" i="54"/>
  <c r="E21" i="54"/>
  <c r="K20" i="54"/>
  <c r="M20" i="54" s="1"/>
  <c r="I19" i="54"/>
  <c r="K19" i="54" s="1"/>
  <c r="I18" i="54"/>
  <c r="K18" i="54" s="1"/>
  <c r="I17" i="54"/>
  <c r="K17" i="54" s="1"/>
  <c r="I16" i="54"/>
  <c r="K16" i="54" s="1"/>
  <c r="I15" i="54"/>
  <c r="K15" i="54" s="1"/>
  <c r="I14" i="54"/>
  <c r="K14" i="54" s="1"/>
  <c r="E13" i="54"/>
  <c r="E34" i="54" s="1"/>
  <c r="I12" i="54"/>
  <c r="K12" i="54" s="1"/>
  <c r="I11" i="54"/>
  <c r="K11" i="54" s="1"/>
  <c r="I10" i="54"/>
  <c r="K10" i="54" s="1"/>
  <c r="G9" i="54"/>
  <c r="G8" i="54"/>
  <c r="N14" i="56" l="1"/>
  <c r="N20" i="56" s="1"/>
  <c r="O12" i="56"/>
  <c r="O18" i="56"/>
  <c r="M20" i="56"/>
  <c r="O10" i="56"/>
  <c r="I7" i="55"/>
  <c r="K21" i="54"/>
  <c r="M21" i="54" s="1"/>
  <c r="M34" i="54" s="1"/>
  <c r="G34" i="54"/>
  <c r="I22" i="54"/>
  <c r="I8" i="54"/>
  <c r="K22" i="54"/>
  <c r="I9" i="54"/>
  <c r="K9" i="54"/>
  <c r="I13" i="54"/>
  <c r="K13" i="54" s="1"/>
  <c r="I21" i="54"/>
  <c r="O14" i="56" l="1"/>
  <c r="O20" i="56" s="1"/>
  <c r="I17" i="55"/>
  <c r="K7" i="55"/>
  <c r="K34" i="54"/>
  <c r="K17" i="55" l="1"/>
  <c r="M7" i="55"/>
  <c r="M17" i="55" s="1"/>
  <c r="G57" i="53"/>
  <c r="I53" i="53"/>
  <c r="F52" i="53"/>
  <c r="F48" i="53" s="1"/>
  <c r="I51" i="53"/>
  <c r="I50" i="53"/>
  <c r="I49" i="53"/>
  <c r="I47" i="53"/>
  <c r="I46" i="53"/>
  <c r="F45" i="53"/>
  <c r="I45" i="53" s="1"/>
  <c r="I43" i="53"/>
  <c r="I42" i="53"/>
  <c r="F41" i="53"/>
  <c r="I41" i="53" s="1"/>
  <c r="I40" i="53"/>
  <c r="I39" i="53"/>
  <c r="I38" i="53"/>
  <c r="F38" i="53"/>
  <c r="I35" i="53"/>
  <c r="I34" i="53"/>
  <c r="I33" i="53"/>
  <c r="F32" i="53"/>
  <c r="I32" i="53" s="1"/>
  <c r="I31" i="53"/>
  <c r="I30" i="53"/>
  <c r="I29" i="53"/>
  <c r="I27" i="53"/>
  <c r="I26" i="53"/>
  <c r="I25" i="53"/>
  <c r="F25" i="53"/>
  <c r="I23" i="53"/>
  <c r="I22" i="53"/>
  <c r="F21" i="53"/>
  <c r="I21" i="53" s="1"/>
  <c r="F19" i="53"/>
  <c r="F14" i="53" s="1"/>
  <c r="I14" i="53" s="1"/>
  <c r="I17" i="53"/>
  <c r="I16" i="53"/>
  <c r="I15" i="53"/>
  <c r="I13" i="53"/>
  <c r="I12" i="53"/>
  <c r="I11" i="53"/>
  <c r="I10" i="53"/>
  <c r="F9" i="53"/>
  <c r="F170" i="28"/>
  <c r="F166" i="28"/>
  <c r="F158" i="28"/>
  <c r="F148" i="28"/>
  <c r="F150" i="28" s="1"/>
  <c r="F152" i="28" s="1"/>
  <c r="F161" i="28" s="1"/>
  <c r="F139" i="28"/>
  <c r="F131" i="28"/>
  <c r="F117" i="28"/>
  <c r="F134" i="28" s="1"/>
  <c r="F109" i="28"/>
  <c r="F102" i="28"/>
  <c r="F82" i="28"/>
  <c r="F72" i="28"/>
  <c r="F64" i="28"/>
  <c r="F51" i="28"/>
  <c r="F41" i="28"/>
  <c r="F30" i="28"/>
  <c r="F23" i="28"/>
  <c r="F18" i="28"/>
  <c r="F13" i="28"/>
  <c r="F6" i="28"/>
  <c r="N12" i="52"/>
  <c r="N14" i="52" s="1"/>
  <c r="M12" i="52"/>
  <c r="M14" i="52" s="1"/>
  <c r="O14" i="52" s="1"/>
  <c r="N10" i="52"/>
  <c r="M10" i="52"/>
  <c r="O10" i="52" s="1"/>
  <c r="O8" i="52"/>
  <c r="E25" i="51"/>
  <c r="M24" i="51"/>
  <c r="K24" i="51"/>
  <c r="M23" i="51"/>
  <c r="K23" i="51"/>
  <c r="M22" i="51"/>
  <c r="K22" i="51"/>
  <c r="M21" i="51"/>
  <c r="K21" i="51"/>
  <c r="M20" i="51"/>
  <c r="K20" i="51"/>
  <c r="M19" i="51"/>
  <c r="K19" i="51"/>
  <c r="M18" i="51"/>
  <c r="K18" i="51"/>
  <c r="M17" i="51"/>
  <c r="K17" i="51"/>
  <c r="M16" i="51"/>
  <c r="K16" i="51"/>
  <c r="M15" i="51"/>
  <c r="K15" i="51"/>
  <c r="M14" i="51"/>
  <c r="K14" i="51"/>
  <c r="K13" i="51"/>
  <c r="G13" i="51"/>
  <c r="M13" i="51" s="1"/>
  <c r="G12" i="51"/>
  <c r="M12" i="51" s="1"/>
  <c r="M11" i="51"/>
  <c r="G11" i="51"/>
  <c r="I11" i="51" s="1"/>
  <c r="K11" i="51" s="1"/>
  <c r="M10" i="51"/>
  <c r="I10" i="51"/>
  <c r="K10" i="51" s="1"/>
  <c r="G9" i="51"/>
  <c r="K9" i="51" s="1"/>
  <c r="G8" i="51"/>
  <c r="M8" i="51" s="1"/>
  <c r="M7" i="51"/>
  <c r="G7" i="51"/>
  <c r="E30" i="50"/>
  <c r="K29" i="50"/>
  <c r="M29" i="50" s="1"/>
  <c r="G27" i="50"/>
  <c r="M27" i="50" s="1"/>
  <c r="G26" i="50"/>
  <c r="M26" i="50" s="1"/>
  <c r="M25" i="50"/>
  <c r="I25" i="50"/>
  <c r="K25" i="50" s="1"/>
  <c r="G24" i="50"/>
  <c r="M24" i="50" s="1"/>
  <c r="G23" i="50"/>
  <c r="M23" i="50" s="1"/>
  <c r="M22" i="50"/>
  <c r="G22" i="50"/>
  <c r="G21" i="50"/>
  <c r="M21" i="50" s="1"/>
  <c r="G20" i="50"/>
  <c r="M20" i="50" s="1"/>
  <c r="M19" i="50"/>
  <c r="K19" i="50"/>
  <c r="G19" i="50"/>
  <c r="E19" i="50"/>
  <c r="M18" i="50"/>
  <c r="I18" i="50"/>
  <c r="K18" i="50" s="1"/>
  <c r="M17" i="50"/>
  <c r="I17" i="50"/>
  <c r="K17" i="50" s="1"/>
  <c r="G16" i="50"/>
  <c r="M16" i="50" s="1"/>
  <c r="M15" i="50"/>
  <c r="G15" i="50"/>
  <c r="G14" i="50"/>
  <c r="M14" i="50" s="1"/>
  <c r="G13" i="50"/>
  <c r="M13" i="50" s="1"/>
  <c r="M12" i="50"/>
  <c r="I12" i="50"/>
  <c r="K12" i="50" s="1"/>
  <c r="G11" i="50"/>
  <c r="M11" i="50" s="1"/>
  <c r="G10" i="50"/>
  <c r="M10" i="50" s="1"/>
  <c r="G9" i="50"/>
  <c r="M9" i="50" s="1"/>
  <c r="G8" i="50"/>
  <c r="M8" i="50" s="1"/>
  <c r="M30" i="50" s="1"/>
  <c r="F36" i="53" l="1"/>
  <c r="F54" i="53"/>
  <c r="I54" i="53" s="1"/>
  <c r="I48" i="53"/>
  <c r="I19" i="53"/>
  <c r="I9" i="53"/>
  <c r="I52" i="53"/>
  <c r="F105" i="28"/>
  <c r="F25" i="28"/>
  <c r="F67" i="28"/>
  <c r="O12" i="52"/>
  <c r="I12" i="51"/>
  <c r="M9" i="51"/>
  <c r="M25" i="51" s="1"/>
  <c r="K8" i="51"/>
  <c r="G25" i="51"/>
  <c r="K12" i="51"/>
  <c r="I7" i="51"/>
  <c r="I25" i="51" s="1"/>
  <c r="K22" i="50"/>
  <c r="K9" i="50"/>
  <c r="I26" i="50"/>
  <c r="K26" i="50" s="1"/>
  <c r="I13" i="50"/>
  <c r="K13" i="50" s="1"/>
  <c r="K16" i="50"/>
  <c r="I23" i="50"/>
  <c r="K23" i="50" s="1"/>
  <c r="K20" i="50"/>
  <c r="I10" i="50"/>
  <c r="K10" i="50" s="1"/>
  <c r="K27" i="50"/>
  <c r="I14" i="50"/>
  <c r="I21" i="50"/>
  <c r="I24" i="50"/>
  <c r="K24" i="50" s="1"/>
  <c r="K14" i="50"/>
  <c r="K21" i="50"/>
  <c r="K11" i="50"/>
  <c r="I8" i="50"/>
  <c r="K8" i="50"/>
  <c r="I15" i="50"/>
  <c r="K15" i="50" s="1"/>
  <c r="I22" i="50"/>
  <c r="G30" i="50"/>
  <c r="I36" i="53" l="1"/>
  <c r="F57" i="53"/>
  <c r="I57" i="53" s="1"/>
  <c r="K7" i="51"/>
  <c r="K25" i="51" s="1"/>
  <c r="K30" i="50"/>
  <c r="I30" i="50"/>
  <c r="I53" i="49" l="1"/>
  <c r="F52" i="49"/>
  <c r="I52" i="49" s="1"/>
  <c r="I51" i="49"/>
  <c r="I50" i="49"/>
  <c r="I49" i="49"/>
  <c r="I47" i="49"/>
  <c r="I46" i="49"/>
  <c r="I45" i="49"/>
  <c r="F45" i="49"/>
  <c r="I43" i="49"/>
  <c r="I42" i="49"/>
  <c r="I41" i="49"/>
  <c r="F41" i="49"/>
  <c r="I40" i="49"/>
  <c r="I39" i="49"/>
  <c r="F38" i="49"/>
  <c r="I38" i="49" s="1"/>
  <c r="I35" i="49"/>
  <c r="I34" i="49"/>
  <c r="I33" i="49"/>
  <c r="F32" i="49"/>
  <c r="I32" i="49" s="1"/>
  <c r="I31" i="49"/>
  <c r="I30" i="49"/>
  <c r="I29" i="49"/>
  <c r="F29" i="49"/>
  <c r="I27" i="49"/>
  <c r="I26" i="49"/>
  <c r="F25" i="49"/>
  <c r="I25" i="49" s="1"/>
  <c r="I23" i="49"/>
  <c r="I22" i="49"/>
  <c r="F21" i="49"/>
  <c r="I21" i="49" s="1"/>
  <c r="F19" i="49"/>
  <c r="F14" i="49" s="1"/>
  <c r="I17" i="49"/>
  <c r="I16" i="49"/>
  <c r="I15" i="49"/>
  <c r="I13" i="49"/>
  <c r="I12" i="49"/>
  <c r="I11" i="49"/>
  <c r="I10" i="49"/>
  <c r="I9" i="49"/>
  <c r="F9" i="49"/>
  <c r="M169" i="23"/>
  <c r="M168" i="23"/>
  <c r="M167" i="23"/>
  <c r="M166" i="23"/>
  <c r="M160" i="23"/>
  <c r="M157" i="23"/>
  <c r="M156" i="23"/>
  <c r="M155" i="23"/>
  <c r="M154" i="23"/>
  <c r="M151" i="23"/>
  <c r="M150" i="23"/>
  <c r="M149" i="23"/>
  <c r="M133" i="23"/>
  <c r="M130" i="23"/>
  <c r="M129" i="23"/>
  <c r="M128" i="23"/>
  <c r="M127" i="23"/>
  <c r="M126" i="23"/>
  <c r="M125" i="23"/>
  <c r="M124" i="23"/>
  <c r="M123" i="23"/>
  <c r="M122" i="23"/>
  <c r="M121" i="23"/>
  <c r="M120" i="23"/>
  <c r="M119" i="23"/>
  <c r="M116" i="23"/>
  <c r="M115" i="23"/>
  <c r="M114" i="23"/>
  <c r="M113" i="23"/>
  <c r="M112" i="23"/>
  <c r="M111" i="23"/>
  <c r="M110" i="23"/>
  <c r="M109" i="23"/>
  <c r="M104" i="23"/>
  <c r="M101" i="23"/>
  <c r="M100" i="23"/>
  <c r="M99" i="23"/>
  <c r="M98" i="23"/>
  <c r="M97" i="23"/>
  <c r="M96" i="23"/>
  <c r="M95" i="23"/>
  <c r="M94" i="23"/>
  <c r="M93" i="23"/>
  <c r="M92" i="23"/>
  <c r="M91" i="23"/>
  <c r="M90" i="23"/>
  <c r="M89" i="23"/>
  <c r="M88" i="23"/>
  <c r="M87" i="23"/>
  <c r="M86" i="23"/>
  <c r="M85" i="23"/>
  <c r="M82" i="23"/>
  <c r="M81" i="23"/>
  <c r="M80" i="23"/>
  <c r="M79" i="23"/>
  <c r="M78" i="23"/>
  <c r="M77" i="23"/>
  <c r="M76" i="23"/>
  <c r="M75" i="23"/>
  <c r="M74" i="23"/>
  <c r="M73" i="23"/>
  <c r="M67" i="23"/>
  <c r="M64" i="23"/>
  <c r="M63" i="23"/>
  <c r="M62" i="23"/>
  <c r="M61" i="23"/>
  <c r="M60" i="23"/>
  <c r="M59" i="23"/>
  <c r="M58" i="23"/>
  <c r="M57" i="23"/>
  <c r="M56" i="23"/>
  <c r="M55" i="23"/>
  <c r="M54" i="23"/>
  <c r="M51" i="23"/>
  <c r="M50" i="23"/>
  <c r="M49" i="23"/>
  <c r="M48" i="23"/>
  <c r="M47" i="23"/>
  <c r="M46" i="23"/>
  <c r="M45" i="23"/>
  <c r="M44" i="23"/>
  <c r="M41" i="23"/>
  <c r="M40" i="23"/>
  <c r="M39" i="23"/>
  <c r="M38" i="23"/>
  <c r="M37" i="23"/>
  <c r="M36" i="23"/>
  <c r="M35" i="23"/>
  <c r="M34" i="23"/>
  <c r="M33" i="23"/>
  <c r="M32" i="23"/>
  <c r="M31" i="23"/>
  <c r="M25" i="23"/>
  <c r="M24" i="23"/>
  <c r="M23" i="23"/>
  <c r="M22" i="23"/>
  <c r="M21" i="23"/>
  <c r="M20" i="23"/>
  <c r="M19" i="23"/>
  <c r="M18" i="23"/>
  <c r="M17" i="23"/>
  <c r="M16" i="23"/>
  <c r="M15" i="23"/>
  <c r="M13" i="23"/>
  <c r="M12" i="23"/>
  <c r="M11" i="23"/>
  <c r="M10" i="23"/>
  <c r="M9" i="23"/>
  <c r="M8" i="23"/>
  <c r="M6" i="23"/>
  <c r="M5" i="23"/>
  <c r="I14" i="49" l="1"/>
  <c r="F36" i="49"/>
  <c r="F48" i="49"/>
  <c r="I19" i="49"/>
  <c r="E149" i="23"/>
  <c r="E101" i="23"/>
  <c r="D149" i="23"/>
  <c r="I9" i="22"/>
  <c r="G10" i="22"/>
  <c r="F54" i="49" l="1"/>
  <c r="I54" i="49" s="1"/>
  <c r="I48" i="49"/>
  <c r="I36" i="49"/>
  <c r="F57" i="49"/>
  <c r="I57" i="49" s="1"/>
  <c r="L6" i="22"/>
  <c r="I7" i="22"/>
  <c r="I8" i="22"/>
  <c r="I6" i="22"/>
  <c r="D10" i="22"/>
  <c r="H40" i="33"/>
  <c r="I40" i="33"/>
  <c r="J40" i="33"/>
  <c r="K40" i="33"/>
  <c r="L40" i="33"/>
  <c r="M40" i="33"/>
  <c r="N40" i="33"/>
  <c r="O21" i="33"/>
  <c r="D40" i="33"/>
  <c r="E40" i="33"/>
  <c r="F40" i="33"/>
  <c r="C40" i="33"/>
  <c r="H39" i="28"/>
  <c r="H40" i="28"/>
  <c r="D12" i="48"/>
  <c r="D12" i="47"/>
  <c r="C12" i="48" l="1"/>
  <c r="C12" i="47"/>
  <c r="D34" i="48" l="1"/>
  <c r="C13" i="48"/>
  <c r="D33" i="47"/>
  <c r="C13" i="47"/>
  <c r="C36" i="48" l="1"/>
  <c r="C35" i="47"/>
  <c r="D170" i="28" l="1"/>
  <c r="F22" i="23" l="1"/>
  <c r="F21" i="23"/>
  <c r="F20" i="23"/>
  <c r="F15" i="23"/>
  <c r="H22" i="23"/>
  <c r="F10" i="22" l="1"/>
  <c r="G11" i="22" s="1"/>
  <c r="I10" i="22" s="1"/>
  <c r="N39" i="33" l="1"/>
  <c r="M39" i="33"/>
  <c r="L39" i="33"/>
  <c r="K39" i="33"/>
  <c r="J39" i="33"/>
  <c r="I39" i="33"/>
  <c r="H39" i="33"/>
  <c r="G39" i="33"/>
  <c r="F39" i="33"/>
  <c r="E39" i="33"/>
  <c r="D39" i="33"/>
  <c r="C39" i="33"/>
  <c r="N38" i="33"/>
  <c r="M38" i="33"/>
  <c r="L38" i="33"/>
  <c r="K38" i="33"/>
  <c r="J38" i="33"/>
  <c r="I38" i="33"/>
  <c r="H38" i="33"/>
  <c r="G38" i="33"/>
  <c r="F38" i="33"/>
  <c r="E38" i="33"/>
  <c r="D38" i="33"/>
  <c r="C38" i="33"/>
  <c r="N37" i="33"/>
  <c r="M37" i="33"/>
  <c r="L37" i="33"/>
  <c r="K37" i="33"/>
  <c r="J37" i="33"/>
  <c r="I37" i="33"/>
  <c r="H37" i="33"/>
  <c r="G37" i="33"/>
  <c r="F37" i="33"/>
  <c r="E37" i="33"/>
  <c r="D37" i="33"/>
  <c r="C37" i="33"/>
  <c r="N36" i="33"/>
  <c r="M36" i="33"/>
  <c r="L36" i="33"/>
  <c r="K36" i="33"/>
  <c r="J36" i="33"/>
  <c r="I36" i="33"/>
  <c r="H36" i="33"/>
  <c r="G36" i="33"/>
  <c r="F36" i="33"/>
  <c r="E36" i="33"/>
  <c r="D36" i="33"/>
  <c r="C36" i="33"/>
  <c r="N35" i="33"/>
  <c r="M35" i="33"/>
  <c r="L35" i="33"/>
  <c r="K35" i="33"/>
  <c r="J35" i="33"/>
  <c r="I35" i="33"/>
  <c r="H35" i="33"/>
  <c r="G35" i="33"/>
  <c r="F35" i="33"/>
  <c r="E35" i="33"/>
  <c r="D35" i="33"/>
  <c r="C35" i="33"/>
  <c r="N34" i="33"/>
  <c r="M34" i="33"/>
  <c r="L34" i="33"/>
  <c r="K34" i="33"/>
  <c r="J34" i="33"/>
  <c r="I34" i="33"/>
  <c r="H34" i="33"/>
  <c r="G34" i="33"/>
  <c r="F34" i="33"/>
  <c r="E34" i="33"/>
  <c r="D34" i="33"/>
  <c r="C34" i="33"/>
  <c r="N33" i="33"/>
  <c r="M33" i="33"/>
  <c r="L33" i="33"/>
  <c r="K33" i="33"/>
  <c r="J33" i="33"/>
  <c r="I33" i="33"/>
  <c r="H33" i="33"/>
  <c r="G33" i="33"/>
  <c r="F33" i="33"/>
  <c r="E33" i="33"/>
  <c r="D33" i="33"/>
  <c r="C33" i="33"/>
  <c r="N32" i="33"/>
  <c r="M32" i="33"/>
  <c r="L32" i="33"/>
  <c r="K32" i="33"/>
  <c r="J32" i="33"/>
  <c r="I32" i="33"/>
  <c r="H32" i="33"/>
  <c r="G32" i="33"/>
  <c r="F32" i="33"/>
  <c r="E32" i="33"/>
  <c r="D32" i="33"/>
  <c r="C32" i="33"/>
  <c r="N31" i="33"/>
  <c r="M31" i="33"/>
  <c r="L31" i="33"/>
  <c r="K31" i="33"/>
  <c r="J31" i="33"/>
  <c r="I31" i="33"/>
  <c r="H31" i="33"/>
  <c r="G31" i="33"/>
  <c r="F31" i="33"/>
  <c r="E31" i="33"/>
  <c r="D31" i="33"/>
  <c r="C31" i="33"/>
  <c r="N30" i="33"/>
  <c r="M30" i="33"/>
  <c r="L30" i="33"/>
  <c r="K30" i="33"/>
  <c r="J30" i="33"/>
  <c r="I30" i="33"/>
  <c r="H30" i="33"/>
  <c r="G30" i="33"/>
  <c r="F30" i="33"/>
  <c r="E30" i="33"/>
  <c r="D30" i="33"/>
  <c r="C30" i="33"/>
  <c r="N29" i="33"/>
  <c r="M29" i="33"/>
  <c r="L29" i="33"/>
  <c r="K29" i="33"/>
  <c r="J29" i="33"/>
  <c r="I29" i="33"/>
  <c r="H29" i="33"/>
  <c r="G29" i="33"/>
  <c r="F29" i="33"/>
  <c r="E29" i="33"/>
  <c r="D29" i="33"/>
  <c r="C29" i="33"/>
  <c r="N28" i="33"/>
  <c r="M28" i="33"/>
  <c r="L28" i="33"/>
  <c r="K28" i="33"/>
  <c r="J28" i="33"/>
  <c r="I28" i="33"/>
  <c r="H28" i="33"/>
  <c r="G28" i="33"/>
  <c r="F28" i="33"/>
  <c r="E28" i="33"/>
  <c r="D28" i="33"/>
  <c r="C28" i="33"/>
  <c r="N27" i="33"/>
  <c r="M27" i="33"/>
  <c r="L27" i="33"/>
  <c r="K27" i="33"/>
  <c r="J27" i="33"/>
  <c r="I27" i="33"/>
  <c r="H27" i="33"/>
  <c r="G27" i="33"/>
  <c r="F27" i="33"/>
  <c r="E27" i="33"/>
  <c r="D27" i="33"/>
  <c r="C27" i="33"/>
  <c r="N26" i="33"/>
  <c r="M26" i="33"/>
  <c r="L26" i="33"/>
  <c r="K26" i="33"/>
  <c r="J26" i="33"/>
  <c r="I26" i="33"/>
  <c r="H26" i="33"/>
  <c r="G26" i="33"/>
  <c r="F26" i="33"/>
  <c r="E26" i="33"/>
  <c r="D26" i="33"/>
  <c r="C26" i="33"/>
  <c r="O20" i="33"/>
  <c r="O40" i="33" s="1"/>
  <c r="O19" i="33"/>
  <c r="O18" i="33"/>
  <c r="O17" i="33"/>
  <c r="O16" i="33"/>
  <c r="O15" i="33"/>
  <c r="O14" i="33"/>
  <c r="O13" i="33"/>
  <c r="O12" i="33"/>
  <c r="O11" i="33"/>
  <c r="O10" i="33"/>
  <c r="O9" i="33"/>
  <c r="O8" i="33"/>
  <c r="O7" i="33"/>
  <c r="O6" i="33"/>
  <c r="FJ5" i="33"/>
  <c r="FI5" i="33"/>
  <c r="FH5" i="33"/>
  <c r="FG5" i="33"/>
  <c r="FF5" i="33"/>
  <c r="FE5" i="33"/>
  <c r="FD5" i="33"/>
  <c r="FC5" i="33"/>
  <c r="FB5" i="33"/>
  <c r="FA5" i="33"/>
  <c r="EZ5" i="33"/>
  <c r="EY5" i="33"/>
  <c r="EX5" i="33"/>
  <c r="EW5" i="33"/>
  <c r="EV5" i="33"/>
  <c r="EU5" i="33"/>
  <c r="ET5" i="33"/>
  <c r="ES5" i="33"/>
  <c r="ER5" i="33"/>
  <c r="EQ5" i="33"/>
  <c r="EP5" i="33"/>
  <c r="EO5" i="33"/>
  <c r="EN5" i="33"/>
  <c r="EM5" i="33"/>
  <c r="EL5" i="33"/>
  <c r="EK5" i="33"/>
  <c r="EJ5" i="33"/>
  <c r="EI5" i="33"/>
  <c r="EH5" i="33"/>
  <c r="EG5" i="33"/>
  <c r="EF5" i="33"/>
  <c r="EE5" i="33"/>
  <c r="ED5" i="33"/>
  <c r="EC5" i="33"/>
  <c r="EB5" i="33"/>
  <c r="EA5" i="33"/>
  <c r="DZ5" i="33"/>
  <c r="DY5" i="33"/>
  <c r="DX5" i="33"/>
  <c r="DW5" i="33"/>
  <c r="DV5" i="33"/>
  <c r="DU5" i="33"/>
  <c r="DT5" i="33"/>
  <c r="DS5" i="33"/>
  <c r="DR5" i="33"/>
  <c r="DQ5" i="33"/>
  <c r="DP5" i="33"/>
  <c r="DO5" i="33"/>
  <c r="DN5" i="33"/>
  <c r="DM5" i="33"/>
  <c r="DL5" i="33"/>
  <c r="DK5" i="33"/>
  <c r="DJ5" i="33"/>
  <c r="DI5" i="33"/>
  <c r="DH5" i="33"/>
  <c r="DG5" i="33"/>
  <c r="DF5" i="33"/>
  <c r="DE5" i="33"/>
  <c r="DD5" i="33"/>
  <c r="DC5" i="33"/>
  <c r="DB5" i="33"/>
  <c r="DA5" i="33"/>
  <c r="CZ5" i="33"/>
  <c r="CY5" i="33"/>
  <c r="CX5" i="33"/>
  <c r="CW5" i="33"/>
  <c r="CV5" i="33"/>
  <c r="CU5" i="33"/>
  <c r="CT5" i="33"/>
  <c r="CS5" i="33"/>
  <c r="CR5" i="33"/>
  <c r="CQ5" i="33"/>
  <c r="CP5" i="33"/>
  <c r="CO5" i="33"/>
  <c r="CN5" i="33"/>
  <c r="CM5" i="33"/>
  <c r="CL5" i="33"/>
  <c r="CK5" i="33"/>
  <c r="CJ5" i="33"/>
  <c r="CI5" i="33"/>
  <c r="CH5" i="33"/>
  <c r="CG5" i="33"/>
  <c r="CF5" i="33"/>
  <c r="CE5" i="33"/>
  <c r="CD5" i="33"/>
  <c r="CC5" i="33"/>
  <c r="CB5" i="33"/>
  <c r="CA5" i="33"/>
  <c r="BZ5" i="33"/>
  <c r="BY5" i="33"/>
  <c r="BX5" i="33"/>
  <c r="BW5" i="33"/>
  <c r="BV5" i="33"/>
  <c r="BU5" i="33"/>
  <c r="BT5" i="33"/>
  <c r="BS5" i="33"/>
  <c r="BR5" i="33"/>
  <c r="BQ5" i="33"/>
  <c r="BP5" i="33"/>
  <c r="BO5" i="33"/>
  <c r="BN5" i="33"/>
  <c r="BM5" i="33"/>
  <c r="BL5" i="33"/>
  <c r="BK5" i="33"/>
  <c r="BJ5" i="33"/>
  <c r="BI5" i="33"/>
  <c r="BH5" i="33"/>
  <c r="BG5" i="33"/>
  <c r="BF5" i="33"/>
  <c r="BE5" i="33"/>
  <c r="BD5" i="33"/>
  <c r="BC5" i="33"/>
  <c r="BB5" i="33"/>
  <c r="BA5" i="33"/>
  <c r="AZ5" i="33"/>
  <c r="AY5" i="33"/>
  <c r="AX5" i="33"/>
  <c r="AW5" i="33"/>
  <c r="AV5" i="33"/>
  <c r="AU5" i="33"/>
  <c r="AT5" i="33"/>
  <c r="AS5" i="33"/>
  <c r="AR5" i="33"/>
  <c r="AQ5" i="33"/>
  <c r="AP5" i="33"/>
  <c r="AO5" i="33"/>
  <c r="AN5" i="33"/>
  <c r="AM5" i="33"/>
  <c r="AL5" i="33"/>
  <c r="AK5" i="33"/>
  <c r="AJ5" i="33"/>
  <c r="AI5" i="33"/>
  <c r="AH5" i="33"/>
  <c r="AG5" i="33"/>
  <c r="AF5" i="33"/>
  <c r="AE5" i="33"/>
  <c r="AD5" i="33"/>
  <c r="AC5" i="33"/>
  <c r="AB5" i="33"/>
  <c r="AA5" i="33"/>
  <c r="Z5" i="33"/>
  <c r="Y5" i="33"/>
  <c r="X5" i="33"/>
  <c r="W5" i="33"/>
  <c r="O5" i="33"/>
  <c r="O36" i="33" l="1"/>
  <c r="O31" i="33"/>
  <c r="O37" i="33"/>
  <c r="O39" i="33"/>
  <c r="O38" i="33"/>
  <c r="O28" i="33"/>
  <c r="O30" i="33"/>
  <c r="O35" i="33"/>
  <c r="O33" i="33"/>
  <c r="O27" i="33"/>
  <c r="O32" i="33"/>
  <c r="O29" i="33"/>
  <c r="O26" i="33"/>
  <c r="O34" i="33"/>
  <c r="H165" i="23" l="1"/>
  <c r="H138" i="23"/>
  <c r="H108" i="23"/>
  <c r="H72" i="23"/>
  <c r="H30" i="23"/>
  <c r="F157" i="23"/>
  <c r="E48" i="23"/>
  <c r="E47" i="23"/>
  <c r="E33" i="23"/>
  <c r="H168" i="23"/>
  <c r="H167" i="23"/>
  <c r="H166" i="23"/>
  <c r="H156" i="23"/>
  <c r="H154" i="23"/>
  <c r="H157" i="23" s="1"/>
  <c r="H149" i="23"/>
  <c r="H151" i="23" s="1"/>
  <c r="H129" i="23"/>
  <c r="H128" i="23"/>
  <c r="H127" i="23"/>
  <c r="H126" i="23"/>
  <c r="H125" i="23"/>
  <c r="H124" i="23"/>
  <c r="H123" i="23"/>
  <c r="H122" i="23"/>
  <c r="H121" i="23"/>
  <c r="H120" i="23"/>
  <c r="H119" i="23"/>
  <c r="H114" i="23"/>
  <c r="H113" i="23"/>
  <c r="H112" i="23"/>
  <c r="H111" i="23"/>
  <c r="H110" i="23"/>
  <c r="H109" i="23"/>
  <c r="H100" i="23"/>
  <c r="H99" i="23"/>
  <c r="H98" i="23"/>
  <c r="H97" i="23"/>
  <c r="H96" i="23"/>
  <c r="H95" i="23"/>
  <c r="H94" i="23"/>
  <c r="H93" i="23"/>
  <c r="H92" i="23"/>
  <c r="H91" i="23"/>
  <c r="H90" i="23"/>
  <c r="H89" i="23"/>
  <c r="H88" i="23"/>
  <c r="H87" i="23"/>
  <c r="H86" i="23"/>
  <c r="H85" i="23"/>
  <c r="H80" i="23"/>
  <c r="H79" i="23"/>
  <c r="H78" i="23"/>
  <c r="H77" i="23"/>
  <c r="H76" i="23"/>
  <c r="H75" i="23"/>
  <c r="H74" i="23"/>
  <c r="H73" i="23"/>
  <c r="H63" i="23"/>
  <c r="H62" i="23"/>
  <c r="H61" i="23"/>
  <c r="H60" i="23"/>
  <c r="H59" i="23"/>
  <c r="H58" i="23"/>
  <c r="H57" i="23"/>
  <c r="H56" i="23"/>
  <c r="H55" i="23"/>
  <c r="H54" i="23"/>
  <c r="H49" i="23"/>
  <c r="H48" i="23"/>
  <c r="H47" i="23"/>
  <c r="H46" i="23"/>
  <c r="H45" i="23"/>
  <c r="H44" i="23"/>
  <c r="H40" i="23"/>
  <c r="H39" i="23"/>
  <c r="H38" i="23"/>
  <c r="H37" i="23"/>
  <c r="H36" i="23"/>
  <c r="H35" i="23"/>
  <c r="H34" i="23"/>
  <c r="H33" i="23"/>
  <c r="H32" i="23"/>
  <c r="H31" i="23"/>
  <c r="H23" i="23"/>
  <c r="H21" i="23"/>
  <c r="H20" i="23"/>
  <c r="H18" i="23"/>
  <c r="H15" i="23"/>
  <c r="H160" i="23" l="1"/>
  <c r="H51" i="23"/>
  <c r="H101" i="23"/>
  <c r="H130" i="23"/>
  <c r="H41" i="23"/>
  <c r="H169" i="23"/>
  <c r="H82" i="23"/>
  <c r="H104" i="23" s="1"/>
  <c r="H64" i="23"/>
  <c r="H116" i="23"/>
  <c r="H133" i="23" l="1"/>
  <c r="H67" i="23"/>
  <c r="H169" i="28" l="1"/>
  <c r="I169" i="28" s="1"/>
  <c r="H168" i="28"/>
  <c r="I168" i="28" s="1"/>
  <c r="H167" i="28"/>
  <c r="I167" i="28" s="1"/>
  <c r="H157" i="28"/>
  <c r="H156" i="28"/>
  <c r="H155" i="28"/>
  <c r="I155" i="28" s="1"/>
  <c r="H151" i="28"/>
  <c r="H147" i="28"/>
  <c r="I147" i="28" s="1"/>
  <c r="H144" i="28"/>
  <c r="I144" i="28" s="1"/>
  <c r="H143" i="28"/>
  <c r="I143" i="28" s="1"/>
  <c r="H140" i="28"/>
  <c r="I140" i="28" s="1"/>
  <c r="H130" i="28"/>
  <c r="I130" i="28" s="1"/>
  <c r="H129" i="28"/>
  <c r="I129" i="28" s="1"/>
  <c r="H128" i="28"/>
  <c r="I128" i="28" s="1"/>
  <c r="H127" i="28"/>
  <c r="I127" i="28" s="1"/>
  <c r="H126" i="28"/>
  <c r="H125" i="28"/>
  <c r="I125" i="28" s="1"/>
  <c r="H124" i="28"/>
  <c r="I124" i="28" s="1"/>
  <c r="H123" i="28"/>
  <c r="I123" i="28" s="1"/>
  <c r="H122" i="28"/>
  <c r="I122" i="28" s="1"/>
  <c r="H121" i="28"/>
  <c r="I121" i="28" s="1"/>
  <c r="H120" i="28"/>
  <c r="I120" i="28" s="1"/>
  <c r="H115" i="28"/>
  <c r="I115" i="28" s="1"/>
  <c r="H114" i="28"/>
  <c r="I114" i="28" s="1"/>
  <c r="H113" i="28"/>
  <c r="I113" i="28" s="1"/>
  <c r="H112" i="28"/>
  <c r="I112" i="28" s="1"/>
  <c r="H111" i="28"/>
  <c r="I111" i="28" s="1"/>
  <c r="H110" i="28"/>
  <c r="I110" i="28" s="1"/>
  <c r="H101" i="28"/>
  <c r="I101" i="28" s="1"/>
  <c r="H100" i="28"/>
  <c r="I100" i="28" s="1"/>
  <c r="H99" i="28"/>
  <c r="I99" i="28" s="1"/>
  <c r="H98" i="28"/>
  <c r="I98" i="28" s="1"/>
  <c r="H97" i="28"/>
  <c r="I97" i="28" s="1"/>
  <c r="H96" i="28"/>
  <c r="I96" i="28" s="1"/>
  <c r="H95" i="28"/>
  <c r="I95" i="28" s="1"/>
  <c r="H93" i="28"/>
  <c r="I93" i="28" s="1"/>
  <c r="H92" i="28"/>
  <c r="I92" i="28" s="1"/>
  <c r="H91" i="28"/>
  <c r="I91" i="28" s="1"/>
  <c r="H90" i="28"/>
  <c r="I90" i="28" s="1"/>
  <c r="H89" i="28"/>
  <c r="I89" i="28" s="1"/>
  <c r="H88" i="28"/>
  <c r="H87" i="28"/>
  <c r="I87" i="28" s="1"/>
  <c r="H86" i="28"/>
  <c r="I86" i="28" s="1"/>
  <c r="H85" i="28"/>
  <c r="I85" i="28" s="1"/>
  <c r="H80" i="28"/>
  <c r="I80" i="28" s="1"/>
  <c r="H79" i="28"/>
  <c r="I79" i="28" s="1"/>
  <c r="H78" i="28"/>
  <c r="I78" i="28" s="1"/>
  <c r="H77" i="28"/>
  <c r="I77" i="28" s="1"/>
  <c r="H76" i="28"/>
  <c r="I76" i="28" s="1"/>
  <c r="H75" i="28"/>
  <c r="I75" i="28" s="1"/>
  <c r="H74" i="28"/>
  <c r="I74" i="28" s="1"/>
  <c r="H73" i="28"/>
  <c r="I73" i="28" s="1"/>
  <c r="H63" i="28"/>
  <c r="I63" i="28" s="1"/>
  <c r="H61" i="28"/>
  <c r="I61" i="28" s="1"/>
  <c r="H60" i="28"/>
  <c r="I60" i="28" s="1"/>
  <c r="H59" i="28"/>
  <c r="I59" i="28" s="1"/>
  <c r="H58" i="28"/>
  <c r="I58" i="28" s="1"/>
  <c r="H57" i="28"/>
  <c r="I57" i="28" s="1"/>
  <c r="H56" i="28"/>
  <c r="I56" i="28" s="1"/>
  <c r="H55" i="28"/>
  <c r="I55" i="28" s="1"/>
  <c r="H54" i="28"/>
  <c r="I54" i="28" s="1"/>
  <c r="H49" i="28" l="1"/>
  <c r="I49" i="28" s="1"/>
  <c r="H46" i="28"/>
  <c r="I46" i="28" s="1"/>
  <c r="H45" i="28"/>
  <c r="I45" i="28" s="1"/>
  <c r="H44" i="28"/>
  <c r="I44" i="28" s="1"/>
  <c r="H38" i="28"/>
  <c r="I38" i="28" s="1"/>
  <c r="H37" i="28"/>
  <c r="I37" i="28" s="1"/>
  <c r="H36" i="28"/>
  <c r="I36" i="28" s="1"/>
  <c r="H35" i="28"/>
  <c r="I35" i="28" s="1"/>
  <c r="H34" i="28"/>
  <c r="I34" i="28" s="1"/>
  <c r="H32" i="28"/>
  <c r="I32" i="28" s="1"/>
  <c r="H31" i="28"/>
  <c r="I31" i="28" s="1"/>
  <c r="H22" i="28"/>
  <c r="I22" i="28" s="1"/>
  <c r="H21" i="28"/>
  <c r="I21" i="28" s="1"/>
  <c r="H20" i="28"/>
  <c r="I20" i="28" s="1"/>
  <c r="D166" i="28"/>
  <c r="D158" i="28"/>
  <c r="D148" i="28"/>
  <c r="D139" i="28"/>
  <c r="D131" i="28"/>
  <c r="D117" i="28"/>
  <c r="D109" i="28"/>
  <c r="D102" i="28"/>
  <c r="D82" i="28"/>
  <c r="D72" i="28"/>
  <c r="D64" i="28"/>
  <c r="D51" i="28"/>
  <c r="D41" i="28"/>
  <c r="D30" i="28"/>
  <c r="D23" i="28"/>
  <c r="D18" i="28"/>
  <c r="H15" i="28"/>
  <c r="I15" i="28" s="1"/>
  <c r="E148" i="28"/>
  <c r="E150" i="28" s="1"/>
  <c r="D150" i="28" l="1"/>
  <c r="H148" i="28"/>
  <c r="I148" i="28" s="1"/>
  <c r="D105" i="28"/>
  <c r="D134" i="28"/>
  <c r="D67" i="28"/>
  <c r="K169" i="28"/>
  <c r="L169" i="28" s="1"/>
  <c r="K168" i="28"/>
  <c r="L168" i="28" s="1"/>
  <c r="K167" i="28"/>
  <c r="L167" i="28" s="1"/>
  <c r="E170" i="28"/>
  <c r="H12" i="28" s="1"/>
  <c r="I12" i="28" s="1"/>
  <c r="L166" i="28"/>
  <c r="K166" i="28"/>
  <c r="I166" i="28"/>
  <c r="H166" i="28"/>
  <c r="E166" i="28"/>
  <c r="K157" i="28"/>
  <c r="L157" i="28" s="1"/>
  <c r="K156" i="28"/>
  <c r="K155" i="28"/>
  <c r="K151" i="28"/>
  <c r="L151" i="28" s="1"/>
  <c r="L139" i="28"/>
  <c r="K139" i="28"/>
  <c r="I139" i="28"/>
  <c r="H139" i="28"/>
  <c r="E139" i="28"/>
  <c r="K130" i="28"/>
  <c r="L130" i="28" s="1"/>
  <c r="K129" i="28"/>
  <c r="L129" i="28" s="1"/>
  <c r="K128" i="28"/>
  <c r="L128" i="28" s="1"/>
  <c r="K127" i="28"/>
  <c r="L127" i="28" s="1"/>
  <c r="K126" i="28"/>
  <c r="L126" i="28" s="1"/>
  <c r="K125" i="28"/>
  <c r="L125" i="28" s="1"/>
  <c r="K124" i="28"/>
  <c r="L124" i="28" s="1"/>
  <c r="K123" i="28"/>
  <c r="L123" i="28" s="1"/>
  <c r="K122" i="28"/>
  <c r="L122" i="28" s="1"/>
  <c r="K120" i="28"/>
  <c r="L120" i="28" s="1"/>
  <c r="E131" i="28"/>
  <c r="H131" i="28" s="1"/>
  <c r="I131" i="28" s="1"/>
  <c r="K116" i="28"/>
  <c r="K115" i="28"/>
  <c r="L115" i="28" s="1"/>
  <c r="K114" i="28"/>
  <c r="L114" i="28" s="1"/>
  <c r="K113" i="28"/>
  <c r="L113" i="28" s="1"/>
  <c r="E117" i="28"/>
  <c r="H117" i="28" s="1"/>
  <c r="I117" i="28" s="1"/>
  <c r="K112" i="28"/>
  <c r="L112" i="28" s="1"/>
  <c r="K111" i="28"/>
  <c r="L111" i="28" s="1"/>
  <c r="L109" i="28"/>
  <c r="K109" i="28"/>
  <c r="I109" i="28"/>
  <c r="H109" i="28"/>
  <c r="E109" i="28"/>
  <c r="K101" i="28"/>
  <c r="L101" i="28" s="1"/>
  <c r="K100" i="28"/>
  <c r="L100" i="28" s="1"/>
  <c r="K99" i="28"/>
  <c r="L99" i="28" s="1"/>
  <c r="K98" i="28"/>
  <c r="L98" i="28" s="1"/>
  <c r="K97" i="28"/>
  <c r="L97" i="28" s="1"/>
  <c r="K96" i="28"/>
  <c r="L96" i="28" s="1"/>
  <c r="K95" i="28"/>
  <c r="L95" i="28" s="1"/>
  <c r="K94" i="28"/>
  <c r="L94" i="28" s="1"/>
  <c r="K93" i="28"/>
  <c r="L93" i="28" s="1"/>
  <c r="K92" i="28"/>
  <c r="L92" i="28" s="1"/>
  <c r="K91" i="28"/>
  <c r="L91" i="28" s="1"/>
  <c r="K90" i="28"/>
  <c r="L90" i="28" s="1"/>
  <c r="K89" i="28"/>
  <c r="L89" i="28" s="1"/>
  <c r="K88" i="28"/>
  <c r="L88" i="28" s="1"/>
  <c r="K87" i="28"/>
  <c r="L87" i="28" s="1"/>
  <c r="K86" i="28"/>
  <c r="L86" i="28" s="1"/>
  <c r="K85" i="28"/>
  <c r="L85" i="28" s="1"/>
  <c r="E102" i="28"/>
  <c r="H102" i="28" s="1"/>
  <c r="I102" i="28" s="1"/>
  <c r="K81" i="28"/>
  <c r="K80" i="28"/>
  <c r="L80" i="28" s="1"/>
  <c r="K79" i="28"/>
  <c r="L79" i="28" s="1"/>
  <c r="K78" i="28"/>
  <c r="L78" i="28" s="1"/>
  <c r="K77" i="28"/>
  <c r="L77" i="28" s="1"/>
  <c r="K76" i="28"/>
  <c r="L76" i="28" s="1"/>
  <c r="K75" i="28"/>
  <c r="L75" i="28" s="1"/>
  <c r="K74" i="28"/>
  <c r="L74" i="28" s="1"/>
  <c r="K73" i="28"/>
  <c r="L73" i="28" s="1"/>
  <c r="L72" i="28"/>
  <c r="K72" i="28"/>
  <c r="I72" i="28"/>
  <c r="H72" i="28"/>
  <c r="E72" i="28"/>
  <c r="K63" i="28"/>
  <c r="L63" i="28" s="1"/>
  <c r="K62" i="28"/>
  <c r="K61" i="28"/>
  <c r="L61" i="28" s="1"/>
  <c r="K60" i="28"/>
  <c r="L60" i="28" s="1"/>
  <c r="K59" i="28"/>
  <c r="L59" i="28" s="1"/>
  <c r="K58" i="28"/>
  <c r="L58" i="28" s="1"/>
  <c r="K57" i="28"/>
  <c r="L57" i="28" s="1"/>
  <c r="K56" i="28"/>
  <c r="L56" i="28" s="1"/>
  <c r="K55" i="28"/>
  <c r="L55" i="28" s="1"/>
  <c r="E64" i="28"/>
  <c r="H64" i="28" s="1"/>
  <c r="I64" i="28" s="1"/>
  <c r="K50" i="28"/>
  <c r="K49" i="28"/>
  <c r="L49" i="28" s="1"/>
  <c r="K48" i="28"/>
  <c r="K47" i="28"/>
  <c r="K46" i="28"/>
  <c r="L46" i="28" s="1"/>
  <c r="K45" i="28"/>
  <c r="L45" i="28" s="1"/>
  <c r="K44" i="28"/>
  <c r="L44" i="28" s="1"/>
  <c r="K40" i="28"/>
  <c r="L40" i="28" s="1"/>
  <c r="K39" i="28"/>
  <c r="K38" i="28"/>
  <c r="L38" i="28" s="1"/>
  <c r="K37" i="28"/>
  <c r="L37" i="28" s="1"/>
  <c r="K36" i="28"/>
  <c r="L36" i="28" s="1"/>
  <c r="K35" i="28"/>
  <c r="L35" i="28" s="1"/>
  <c r="K34" i="28"/>
  <c r="L34" i="28" s="1"/>
  <c r="K33" i="28"/>
  <c r="K32" i="28"/>
  <c r="L32" i="28" s="1"/>
  <c r="K31" i="28"/>
  <c r="L31" i="28" s="1"/>
  <c r="E41" i="28"/>
  <c r="E6" i="28" s="1"/>
  <c r="L30" i="28"/>
  <c r="K30" i="28"/>
  <c r="I30" i="28"/>
  <c r="H30" i="28"/>
  <c r="E30" i="28"/>
  <c r="K24" i="28"/>
  <c r="K22" i="28"/>
  <c r="L22" i="28" s="1"/>
  <c r="K21" i="28"/>
  <c r="L21" i="28" s="1"/>
  <c r="K20" i="28"/>
  <c r="L20" i="28" s="1"/>
  <c r="K19" i="28"/>
  <c r="K17" i="28"/>
  <c r="K16" i="28"/>
  <c r="L16" i="28" s="1"/>
  <c r="K18" i="28"/>
  <c r="K12" i="28"/>
  <c r="L12" i="28" s="1"/>
  <c r="H170" i="28" l="1"/>
  <c r="I170" i="28" s="1"/>
  <c r="D152" i="28"/>
  <c r="H150" i="28"/>
  <c r="I150" i="28" s="1"/>
  <c r="D6" i="28"/>
  <c r="H6" i="28" s="1"/>
  <c r="I6" i="28" s="1"/>
  <c r="H5" i="28"/>
  <c r="I5" i="28" s="1"/>
  <c r="H41" i="28"/>
  <c r="I41" i="28" s="1"/>
  <c r="K51" i="28"/>
  <c r="L51" i="28" s="1"/>
  <c r="K8" i="28"/>
  <c r="L8" i="28" s="1"/>
  <c r="K5" i="28"/>
  <c r="L5" i="28" s="1"/>
  <c r="K15" i="28"/>
  <c r="L15" i="28" s="1"/>
  <c r="K64" i="28"/>
  <c r="L64" i="28" s="1"/>
  <c r="E134" i="28"/>
  <c r="K117" i="28"/>
  <c r="L117" i="28" s="1"/>
  <c r="K10" i="28"/>
  <c r="L10" i="28" s="1"/>
  <c r="K102" i="28"/>
  <c r="L102" i="28" s="1"/>
  <c r="K131" i="28"/>
  <c r="L131" i="28" s="1"/>
  <c r="K152" i="28"/>
  <c r="L152" i="28" s="1"/>
  <c r="K170" i="28"/>
  <c r="L170" i="28" s="1"/>
  <c r="E23" i="28"/>
  <c r="K150" i="28"/>
  <c r="L150" i="28" s="1"/>
  <c r="E158" i="28"/>
  <c r="H158" i="28" s="1"/>
  <c r="I158" i="28" s="1"/>
  <c r="K23" i="28"/>
  <c r="E82" i="28"/>
  <c r="H82" i="28" s="1"/>
  <c r="I82" i="28" s="1"/>
  <c r="K158" i="28"/>
  <c r="L158" i="28" s="1"/>
  <c r="K110" i="28"/>
  <c r="L110" i="28" s="1"/>
  <c r="K121" i="28"/>
  <c r="L121" i="28" s="1"/>
  <c r="E51" i="28"/>
  <c r="H51" i="28" s="1"/>
  <c r="I51" i="28" s="1"/>
  <c r="K54" i="28"/>
  <c r="L54" i="28" s="1"/>
  <c r="E152" i="28"/>
  <c r="H134" i="28" l="1"/>
  <c r="I134" i="28" s="1"/>
  <c r="H10" i="28"/>
  <c r="I10" i="28" s="1"/>
  <c r="D161" i="28"/>
  <c r="H152" i="28"/>
  <c r="I152" i="28" s="1"/>
  <c r="H8" i="28"/>
  <c r="I8" i="28" s="1"/>
  <c r="K41" i="28"/>
  <c r="L41" i="28" s="1"/>
  <c r="K67" i="28"/>
  <c r="L67" i="28" s="1"/>
  <c r="K134" i="28"/>
  <c r="L134" i="28" s="1"/>
  <c r="K82" i="28"/>
  <c r="L82" i="28" s="1"/>
  <c r="E161" i="28"/>
  <c r="E105" i="28"/>
  <c r="E67" i="28"/>
  <c r="H67" i="28" s="1"/>
  <c r="I67" i="28" s="1"/>
  <c r="H9" i="28" l="1"/>
  <c r="I9" i="28" s="1"/>
  <c r="H105" i="28"/>
  <c r="I105" i="28" s="1"/>
  <c r="H161" i="28"/>
  <c r="I161" i="28" s="1"/>
  <c r="K161" i="28"/>
  <c r="L161" i="28" s="1"/>
  <c r="K11" i="28"/>
  <c r="L11" i="28" s="1"/>
  <c r="E13" i="28"/>
  <c r="K105" i="28"/>
  <c r="L105" i="28" s="1"/>
  <c r="K6" i="28"/>
  <c r="N168" i="23"/>
  <c r="N166" i="23"/>
  <c r="N165" i="23"/>
  <c r="M165" i="23"/>
  <c r="K165" i="23"/>
  <c r="J165" i="23"/>
  <c r="E165" i="23"/>
  <c r="F165" i="23"/>
  <c r="D165" i="23"/>
  <c r="N156" i="23"/>
  <c r="J155" i="23"/>
  <c r="N150" i="23"/>
  <c r="J150" i="23"/>
  <c r="K150" i="23" s="1"/>
  <c r="E151" i="23"/>
  <c r="F151" i="23"/>
  <c r="J149" i="23"/>
  <c r="K149" i="23" s="1"/>
  <c r="N138" i="23"/>
  <c r="M138" i="23"/>
  <c r="K138" i="23"/>
  <c r="J138" i="23"/>
  <c r="E138" i="23"/>
  <c r="F138" i="23"/>
  <c r="D138" i="23"/>
  <c r="N128" i="23"/>
  <c r="J128" i="23"/>
  <c r="K128" i="23" s="1"/>
  <c r="N127" i="23"/>
  <c r="J126" i="23"/>
  <c r="K126" i="23" s="1"/>
  <c r="J125" i="23"/>
  <c r="K125" i="23" s="1"/>
  <c r="N124" i="23"/>
  <c r="J122" i="23"/>
  <c r="K122" i="23" s="1"/>
  <c r="N121" i="23"/>
  <c r="J115" i="23"/>
  <c r="J114" i="23"/>
  <c r="K114" i="23" s="1"/>
  <c r="J112" i="23"/>
  <c r="K112" i="23" s="1"/>
  <c r="N110" i="23"/>
  <c r="N108" i="23"/>
  <c r="M108" i="23"/>
  <c r="K108" i="23"/>
  <c r="J108" i="23"/>
  <c r="E108" i="23"/>
  <c r="F108" i="23"/>
  <c r="D108" i="23"/>
  <c r="J100" i="23"/>
  <c r="K100" i="23" s="1"/>
  <c r="N99" i="23"/>
  <c r="J98" i="23"/>
  <c r="K98" i="23" s="1"/>
  <c r="J97" i="23"/>
  <c r="K97" i="23" s="1"/>
  <c r="J96" i="23"/>
  <c r="K96" i="23" s="1"/>
  <c r="J92" i="23"/>
  <c r="K92" i="23" s="1"/>
  <c r="N91" i="23"/>
  <c r="N90" i="23"/>
  <c r="J89" i="23"/>
  <c r="K89" i="23" s="1"/>
  <c r="N87" i="23"/>
  <c r="J85" i="23"/>
  <c r="K85" i="23" s="1"/>
  <c r="J81" i="23"/>
  <c r="N80" i="23"/>
  <c r="J80" i="23"/>
  <c r="K80" i="23" s="1"/>
  <c r="N79" i="23"/>
  <c r="J79" i="23"/>
  <c r="K79" i="23" s="1"/>
  <c r="N78" i="23"/>
  <c r="J77" i="23"/>
  <c r="K77" i="23" s="1"/>
  <c r="N76" i="23"/>
  <c r="N75" i="23"/>
  <c r="J73" i="23"/>
  <c r="K73" i="23" s="1"/>
  <c r="N72" i="23"/>
  <c r="M72" i="23"/>
  <c r="K72" i="23"/>
  <c r="J72" i="23"/>
  <c r="E72" i="23"/>
  <c r="F72" i="23"/>
  <c r="D72" i="23"/>
  <c r="N63" i="23"/>
  <c r="J63" i="23"/>
  <c r="K63" i="23" s="1"/>
  <c r="D62" i="23"/>
  <c r="J61" i="23"/>
  <c r="K61" i="23" s="1"/>
  <c r="N60" i="23"/>
  <c r="N59" i="23"/>
  <c r="J59" i="23"/>
  <c r="K59" i="23" s="1"/>
  <c r="N58" i="23"/>
  <c r="N57" i="23"/>
  <c r="N56" i="23"/>
  <c r="J55" i="23"/>
  <c r="K55" i="23" s="1"/>
  <c r="J50" i="23"/>
  <c r="J49" i="23"/>
  <c r="K49" i="23" s="1"/>
  <c r="D48" i="23"/>
  <c r="J48" i="23" s="1"/>
  <c r="D47" i="23"/>
  <c r="N46" i="23"/>
  <c r="N45" i="23"/>
  <c r="N44" i="23"/>
  <c r="J44" i="23"/>
  <c r="K44" i="23" s="1"/>
  <c r="N40" i="23"/>
  <c r="J39" i="23"/>
  <c r="N38" i="23"/>
  <c r="J37" i="23"/>
  <c r="K37" i="23" s="1"/>
  <c r="J36" i="23"/>
  <c r="K36" i="23" s="1"/>
  <c r="N35" i="23"/>
  <c r="J35" i="23"/>
  <c r="K35" i="23" s="1"/>
  <c r="D33" i="23"/>
  <c r="J33" i="23" s="1"/>
  <c r="N32" i="23"/>
  <c r="E41" i="23"/>
  <c r="N30" i="23"/>
  <c r="M30" i="23"/>
  <c r="K30" i="23"/>
  <c r="J30" i="23"/>
  <c r="E30" i="23"/>
  <c r="F30" i="23"/>
  <c r="D30" i="23"/>
  <c r="J24" i="23"/>
  <c r="J22" i="23"/>
  <c r="K22" i="23" s="1"/>
  <c r="N21" i="23"/>
  <c r="J21" i="23"/>
  <c r="K21" i="23" s="1"/>
  <c r="J19" i="23"/>
  <c r="J17" i="23"/>
  <c r="C10" i="22"/>
  <c r="K6" i="22"/>
  <c r="J20" i="23" l="1"/>
  <c r="K20" i="23" s="1"/>
  <c r="E23" i="23"/>
  <c r="J15" i="23"/>
  <c r="K15" i="23" s="1"/>
  <c r="J95" i="23"/>
  <c r="K95" i="23" s="1"/>
  <c r="H11" i="28"/>
  <c r="I11" i="28" s="1"/>
  <c r="D13" i="28"/>
  <c r="N36" i="23"/>
  <c r="J87" i="23"/>
  <c r="K87" i="23" s="1"/>
  <c r="N95" i="23"/>
  <c r="J113" i="23"/>
  <c r="K113" i="23" s="1"/>
  <c r="E157" i="23"/>
  <c r="E160" i="23" s="1"/>
  <c r="N167" i="23"/>
  <c r="J45" i="23"/>
  <c r="K45" i="23" s="1"/>
  <c r="J34" i="23"/>
  <c r="K34" i="23" s="1"/>
  <c r="J40" i="23"/>
  <c r="K40" i="23" s="1"/>
  <c r="J46" i="23"/>
  <c r="K46" i="23" s="1"/>
  <c r="N49" i="23"/>
  <c r="J58" i="23"/>
  <c r="K58" i="23" s="1"/>
  <c r="J76" i="23"/>
  <c r="K76" i="23" s="1"/>
  <c r="J88" i="23"/>
  <c r="K88" i="23" s="1"/>
  <c r="J91" i="23"/>
  <c r="K91" i="23" s="1"/>
  <c r="N94" i="23"/>
  <c r="N97" i="23"/>
  <c r="N100" i="23"/>
  <c r="N126" i="23"/>
  <c r="N34" i="23"/>
  <c r="N37" i="23"/>
  <c r="N86" i="23"/>
  <c r="J93" i="23"/>
  <c r="K93" i="23" s="1"/>
  <c r="J110" i="23"/>
  <c r="K110" i="23" s="1"/>
  <c r="N112" i="23"/>
  <c r="N122" i="23"/>
  <c r="J156" i="23"/>
  <c r="K156" i="23" s="1"/>
  <c r="E169" i="23"/>
  <c r="J168" i="23"/>
  <c r="K168" i="23" s="1"/>
  <c r="K9" i="28"/>
  <c r="L9" i="28" s="1"/>
  <c r="L6" i="28"/>
  <c r="K7" i="28"/>
  <c r="D130" i="23"/>
  <c r="D151" i="23"/>
  <c r="J151" i="23" s="1"/>
  <c r="K151" i="23" s="1"/>
  <c r="J54" i="23"/>
  <c r="K54" i="23" s="1"/>
  <c r="D116" i="23"/>
  <c r="F130" i="23"/>
  <c r="N120" i="23"/>
  <c r="J32" i="23"/>
  <c r="K32" i="23" s="1"/>
  <c r="E64" i="23"/>
  <c r="J56" i="23"/>
  <c r="K56" i="23" s="1"/>
  <c r="J62" i="23"/>
  <c r="J74" i="23"/>
  <c r="K74" i="23" s="1"/>
  <c r="N77" i="23"/>
  <c r="J86" i="23"/>
  <c r="K86" i="23" s="1"/>
  <c r="J90" i="23"/>
  <c r="K90" i="23" s="1"/>
  <c r="N98" i="23"/>
  <c r="F116" i="23"/>
  <c r="N114" i="23"/>
  <c r="E130" i="23"/>
  <c r="J124" i="23"/>
  <c r="K124" i="23" s="1"/>
  <c r="N129" i="23"/>
  <c r="J154" i="23"/>
  <c r="E116" i="23"/>
  <c r="J127" i="23"/>
  <c r="K127" i="23" s="1"/>
  <c r="F23" i="23"/>
  <c r="D82" i="23"/>
  <c r="N74" i="23"/>
  <c r="D64" i="23"/>
  <c r="D41" i="23"/>
  <c r="F82" i="23"/>
  <c r="N89" i="23"/>
  <c r="N92" i="23"/>
  <c r="N96" i="23"/>
  <c r="J111" i="23"/>
  <c r="K111" i="23" s="1"/>
  <c r="N113" i="23"/>
  <c r="J119" i="23"/>
  <c r="K119" i="23" s="1"/>
  <c r="J123" i="23"/>
  <c r="K123" i="23" s="1"/>
  <c r="N15" i="23"/>
  <c r="N22" i="23"/>
  <c r="F41" i="23"/>
  <c r="N41" i="23" s="1"/>
  <c r="J38" i="23"/>
  <c r="K38" i="23" s="1"/>
  <c r="F51" i="23"/>
  <c r="J47" i="23"/>
  <c r="N55" i="23"/>
  <c r="J57" i="23"/>
  <c r="K57" i="23" s="1"/>
  <c r="N61" i="23"/>
  <c r="E82" i="23"/>
  <c r="J78" i="23"/>
  <c r="K78" i="23" s="1"/>
  <c r="N85" i="23"/>
  <c r="N88" i="23"/>
  <c r="J94" i="23"/>
  <c r="K94" i="23" s="1"/>
  <c r="J99" i="23"/>
  <c r="K99" i="23" s="1"/>
  <c r="J109" i="23"/>
  <c r="K109" i="23" s="1"/>
  <c r="N111" i="23"/>
  <c r="J120" i="23"/>
  <c r="K120" i="23" s="1"/>
  <c r="N123" i="23"/>
  <c r="D169" i="23"/>
  <c r="N151" i="23"/>
  <c r="N20" i="23"/>
  <c r="D101" i="23"/>
  <c r="N149" i="23"/>
  <c r="F169" i="23"/>
  <c r="D51" i="23"/>
  <c r="N54" i="23"/>
  <c r="F101" i="23"/>
  <c r="D157" i="23"/>
  <c r="J166" i="23"/>
  <c r="K166" i="23" s="1"/>
  <c r="F64" i="23"/>
  <c r="N109" i="23"/>
  <c r="N119" i="23"/>
  <c r="J121" i="23"/>
  <c r="K121" i="23" s="1"/>
  <c r="J129" i="23"/>
  <c r="K129" i="23" s="1"/>
  <c r="J167" i="23"/>
  <c r="K167" i="23" s="1"/>
  <c r="J31" i="23"/>
  <c r="K31" i="23" s="1"/>
  <c r="E51" i="23"/>
  <c r="N73" i="23"/>
  <c r="J75" i="23"/>
  <c r="K75" i="23" s="1"/>
  <c r="D23" i="23"/>
  <c r="J60" i="23"/>
  <c r="K60" i="23" s="1"/>
  <c r="N31" i="23"/>
  <c r="J130" i="23" l="1"/>
  <c r="K130" i="23" s="1"/>
  <c r="E67" i="23"/>
  <c r="D67" i="23"/>
  <c r="N116" i="23"/>
  <c r="J23" i="23"/>
  <c r="J51" i="23"/>
  <c r="K51" i="23" s="1"/>
  <c r="N64" i="23"/>
  <c r="J82" i="23"/>
  <c r="K82" i="23" s="1"/>
  <c r="F133" i="23"/>
  <c r="N157" i="23"/>
  <c r="N169" i="23"/>
  <c r="N101" i="23"/>
  <c r="E104" i="23"/>
  <c r="E133" i="23"/>
  <c r="H13" i="28"/>
  <c r="I13" i="28" s="1"/>
  <c r="D25" i="28"/>
  <c r="D133" i="23"/>
  <c r="K13" i="28"/>
  <c r="J41" i="23"/>
  <c r="K41" i="23" s="1"/>
  <c r="J116" i="23"/>
  <c r="K116" i="23" s="1"/>
  <c r="N51" i="23"/>
  <c r="F104" i="23"/>
  <c r="J101" i="23"/>
  <c r="K101" i="23" s="1"/>
  <c r="N82" i="23"/>
  <c r="N130" i="23"/>
  <c r="D104" i="23"/>
  <c r="J157" i="23"/>
  <c r="K157" i="23" s="1"/>
  <c r="J169" i="23"/>
  <c r="K169" i="23" s="1"/>
  <c r="D160" i="23"/>
  <c r="F67" i="23"/>
  <c r="F160" i="23"/>
  <c r="N160" i="23" s="1"/>
  <c r="J64" i="23"/>
  <c r="K64" i="23" s="1"/>
  <c r="N67" i="23" l="1"/>
  <c r="J133" i="23"/>
  <c r="K133" i="23" s="1"/>
  <c r="N133" i="23"/>
  <c r="N104" i="23"/>
  <c r="J67" i="23"/>
  <c r="K67" i="23" s="1"/>
  <c r="J104" i="23"/>
  <c r="K104" i="23" s="1"/>
  <c r="J160" i="23"/>
  <c r="K160" i="23" s="1"/>
  <c r="L13" i="28"/>
  <c r="K14" i="28"/>
  <c r="K25" i="28"/>
  <c r="E73" i="2"/>
  <c r="F73" i="2"/>
  <c r="G73" i="2"/>
  <c r="H73" i="2"/>
  <c r="E30" i="2" l="1"/>
  <c r="F30" i="2"/>
  <c r="G30" i="2"/>
  <c r="H30" i="2"/>
  <c r="E168" i="2"/>
  <c r="F168" i="2"/>
  <c r="G168" i="2"/>
  <c r="H168" i="2"/>
  <c r="E141" i="2"/>
  <c r="F141" i="2"/>
  <c r="G141" i="2"/>
  <c r="H141" i="2"/>
  <c r="E110" i="2"/>
  <c r="F110" i="2"/>
  <c r="G110" i="2"/>
  <c r="H110" i="2"/>
  <c r="M158" i="2"/>
  <c r="M153" i="2"/>
  <c r="N153" i="2" s="1"/>
  <c r="M118" i="2"/>
  <c r="M82" i="2"/>
  <c r="M50" i="2"/>
  <c r="M24" i="2"/>
  <c r="M19" i="2"/>
  <c r="M17" i="2"/>
  <c r="N168" i="2"/>
  <c r="M168" i="2"/>
  <c r="N141" i="2"/>
  <c r="M141" i="2"/>
  <c r="N110" i="2"/>
  <c r="M110" i="2"/>
  <c r="N73" i="2"/>
  <c r="M73" i="2"/>
  <c r="N30" i="2"/>
  <c r="M30" i="2"/>
  <c r="F171" i="2"/>
  <c r="F170" i="2"/>
  <c r="F169" i="2"/>
  <c r="F159" i="2"/>
  <c r="F157" i="2"/>
  <c r="F160" i="2" s="1"/>
  <c r="F152" i="2"/>
  <c r="F154" i="2" s="1"/>
  <c r="F132" i="2"/>
  <c r="F131" i="2"/>
  <c r="F130" i="2"/>
  <c r="F129" i="2"/>
  <c r="F128" i="2"/>
  <c r="F127" i="2"/>
  <c r="F126" i="2"/>
  <c r="F125" i="2"/>
  <c r="F124" i="2"/>
  <c r="F123" i="2"/>
  <c r="F122" i="2"/>
  <c r="F117" i="2"/>
  <c r="F116" i="2"/>
  <c r="F115" i="2"/>
  <c r="F114" i="2"/>
  <c r="F113" i="2"/>
  <c r="F112" i="2"/>
  <c r="F111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1" i="2"/>
  <c r="F80" i="2"/>
  <c r="F79" i="2"/>
  <c r="F78" i="2"/>
  <c r="F77" i="2"/>
  <c r="F76" i="2"/>
  <c r="F75" i="2"/>
  <c r="F74" i="2"/>
  <c r="M74" i="2" s="1"/>
  <c r="N74" i="2" s="1"/>
  <c r="F64" i="2"/>
  <c r="F63" i="2"/>
  <c r="F62" i="2"/>
  <c r="F61" i="2"/>
  <c r="F60" i="2"/>
  <c r="F59" i="2"/>
  <c r="F58" i="2"/>
  <c r="F57" i="2"/>
  <c r="F56" i="2"/>
  <c r="F55" i="2"/>
  <c r="F54" i="2"/>
  <c r="F49" i="2"/>
  <c r="F48" i="2"/>
  <c r="F47" i="2"/>
  <c r="F46" i="2"/>
  <c r="F45" i="2"/>
  <c r="F44" i="2"/>
  <c r="F40" i="2"/>
  <c r="F39" i="2"/>
  <c r="F38" i="2"/>
  <c r="F37" i="2"/>
  <c r="F36" i="2"/>
  <c r="F35" i="2"/>
  <c r="F34" i="2"/>
  <c r="F33" i="2"/>
  <c r="F32" i="2"/>
  <c r="F31" i="2"/>
  <c r="F22" i="2"/>
  <c r="F21" i="2"/>
  <c r="F20" i="2"/>
  <c r="F16" i="2"/>
  <c r="F15" i="2"/>
  <c r="F12" i="2"/>
  <c r="F11" i="2"/>
  <c r="F10" i="2"/>
  <c r="F9" i="2"/>
  <c r="F8" i="2"/>
  <c r="F5" i="2"/>
  <c r="F6" i="2" s="1"/>
  <c r="H171" i="2"/>
  <c r="H170" i="2"/>
  <c r="H169" i="2"/>
  <c r="H159" i="2"/>
  <c r="H152" i="2"/>
  <c r="H154" i="2" s="1"/>
  <c r="H132" i="2"/>
  <c r="H131" i="2"/>
  <c r="H130" i="2"/>
  <c r="H129" i="2"/>
  <c r="H128" i="2"/>
  <c r="H127" i="2"/>
  <c r="H126" i="2"/>
  <c r="H125" i="2"/>
  <c r="H124" i="2"/>
  <c r="H123" i="2"/>
  <c r="H122" i="2"/>
  <c r="H117" i="2"/>
  <c r="H116" i="2"/>
  <c r="H115" i="2"/>
  <c r="H114" i="2"/>
  <c r="H113" i="2"/>
  <c r="H112" i="2"/>
  <c r="H111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1" i="2"/>
  <c r="H80" i="2"/>
  <c r="H79" i="2"/>
  <c r="H78" i="2"/>
  <c r="H77" i="2"/>
  <c r="H76" i="2"/>
  <c r="H75" i="2"/>
  <c r="H74" i="2"/>
  <c r="H63" i="2"/>
  <c r="H62" i="2"/>
  <c r="H61" i="2"/>
  <c r="H60" i="2"/>
  <c r="H59" i="2"/>
  <c r="H58" i="2"/>
  <c r="H57" i="2"/>
  <c r="H56" i="2"/>
  <c r="H55" i="2"/>
  <c r="H54" i="2"/>
  <c r="H49" i="2"/>
  <c r="H48" i="2"/>
  <c r="H46" i="2"/>
  <c r="H45" i="2"/>
  <c r="H44" i="2"/>
  <c r="H40" i="2"/>
  <c r="H39" i="2"/>
  <c r="H38" i="2"/>
  <c r="H37" i="2"/>
  <c r="H36" i="2"/>
  <c r="H35" i="2"/>
  <c r="H34" i="2"/>
  <c r="H33" i="2"/>
  <c r="H32" i="2"/>
  <c r="H31" i="2"/>
  <c r="H22" i="2"/>
  <c r="H21" i="2"/>
  <c r="H20" i="2"/>
  <c r="H16" i="2"/>
  <c r="H15" i="2"/>
  <c r="H12" i="2"/>
  <c r="H11" i="2"/>
  <c r="H10" i="2"/>
  <c r="H9" i="2"/>
  <c r="H8" i="2"/>
  <c r="H5" i="2"/>
  <c r="H6" i="2" s="1"/>
  <c r="K5" i="1"/>
  <c r="E16" i="1"/>
  <c r="H16" i="23" s="1"/>
  <c r="D16" i="1"/>
  <c r="K30" i="2"/>
  <c r="J30" i="2"/>
  <c r="K73" i="2"/>
  <c r="J73" i="2"/>
  <c r="K110" i="2"/>
  <c r="J110" i="2"/>
  <c r="K141" i="2"/>
  <c r="J141" i="2"/>
  <c r="K168" i="2"/>
  <c r="J168" i="2"/>
  <c r="G171" i="2"/>
  <c r="G170" i="2"/>
  <c r="G169" i="2"/>
  <c r="G159" i="2"/>
  <c r="G157" i="2"/>
  <c r="G152" i="2"/>
  <c r="G154" i="2" s="1"/>
  <c r="G132" i="2"/>
  <c r="G131" i="2"/>
  <c r="G130" i="2"/>
  <c r="G129" i="2"/>
  <c r="G128" i="2"/>
  <c r="G127" i="2"/>
  <c r="G126" i="2"/>
  <c r="G125" i="2"/>
  <c r="G124" i="2"/>
  <c r="G123" i="2"/>
  <c r="G122" i="2"/>
  <c r="G117" i="2"/>
  <c r="G116" i="2"/>
  <c r="G115" i="2"/>
  <c r="G114" i="2"/>
  <c r="G113" i="2"/>
  <c r="G112" i="2"/>
  <c r="G111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1" i="2"/>
  <c r="G80" i="2"/>
  <c r="G79" i="2"/>
  <c r="G78" i="2"/>
  <c r="G77" i="2"/>
  <c r="G76" i="2"/>
  <c r="G75" i="2"/>
  <c r="G74" i="2"/>
  <c r="G64" i="2"/>
  <c r="G63" i="2"/>
  <c r="G62" i="2"/>
  <c r="G61" i="2"/>
  <c r="G60" i="2"/>
  <c r="G59" i="2"/>
  <c r="G58" i="2"/>
  <c r="G57" i="2"/>
  <c r="G56" i="2"/>
  <c r="G55" i="2"/>
  <c r="G54" i="2"/>
  <c r="G49" i="2"/>
  <c r="G48" i="2"/>
  <c r="G47" i="2"/>
  <c r="G46" i="2"/>
  <c r="G45" i="2"/>
  <c r="G44" i="2"/>
  <c r="G40" i="2"/>
  <c r="G39" i="2"/>
  <c r="G38" i="2"/>
  <c r="G37" i="2"/>
  <c r="G36" i="2"/>
  <c r="G35" i="2"/>
  <c r="G34" i="2"/>
  <c r="G33" i="2"/>
  <c r="G32" i="2"/>
  <c r="G31" i="2"/>
  <c r="G22" i="2"/>
  <c r="G21" i="2"/>
  <c r="G20" i="2"/>
  <c r="G16" i="2"/>
  <c r="G15" i="2"/>
  <c r="F18" i="2" s="1"/>
  <c r="E171" i="2"/>
  <c r="E170" i="2"/>
  <c r="E169" i="2"/>
  <c r="D171" i="2"/>
  <c r="D170" i="2"/>
  <c r="D169" i="2"/>
  <c r="E159" i="2"/>
  <c r="M159" i="2" s="1"/>
  <c r="N159" i="2" s="1"/>
  <c r="D159" i="2"/>
  <c r="E157" i="2"/>
  <c r="M157" i="2" s="1"/>
  <c r="D157" i="2"/>
  <c r="E152" i="2"/>
  <c r="D152" i="2"/>
  <c r="E132" i="2"/>
  <c r="M132" i="2" s="1"/>
  <c r="N132" i="2" s="1"/>
  <c r="E131" i="2"/>
  <c r="M131" i="2" s="1"/>
  <c r="N131" i="2" s="1"/>
  <c r="E130" i="2"/>
  <c r="E129" i="2"/>
  <c r="E128" i="2"/>
  <c r="E127" i="2"/>
  <c r="E126" i="2"/>
  <c r="E125" i="2"/>
  <c r="E124" i="2"/>
  <c r="E123" i="2"/>
  <c r="M123" i="2" s="1"/>
  <c r="N123" i="2" s="1"/>
  <c r="E122" i="2"/>
  <c r="D132" i="2"/>
  <c r="D131" i="2"/>
  <c r="D130" i="2"/>
  <c r="D129" i="2"/>
  <c r="D128" i="2"/>
  <c r="D127" i="2"/>
  <c r="D126" i="2"/>
  <c r="D125" i="2"/>
  <c r="D124" i="2"/>
  <c r="D123" i="2"/>
  <c r="D122" i="2"/>
  <c r="E117" i="2"/>
  <c r="E116" i="2"/>
  <c r="E115" i="2"/>
  <c r="M115" i="2" s="1"/>
  <c r="N115" i="2" s="1"/>
  <c r="E114" i="2"/>
  <c r="E113" i="2"/>
  <c r="E112" i="2"/>
  <c r="E111" i="2"/>
  <c r="D117" i="2"/>
  <c r="D116" i="2"/>
  <c r="D115" i="2"/>
  <c r="D114" i="2"/>
  <c r="D113" i="2"/>
  <c r="D112" i="2"/>
  <c r="D111" i="2"/>
  <c r="E103" i="1"/>
  <c r="E102" i="2"/>
  <c r="E101" i="2"/>
  <c r="E100" i="2"/>
  <c r="E99" i="2"/>
  <c r="M99" i="2" s="1"/>
  <c r="N99" i="2" s="1"/>
  <c r="E98" i="2"/>
  <c r="E97" i="2"/>
  <c r="E96" i="2"/>
  <c r="M96" i="2" s="1"/>
  <c r="N96" i="2" s="1"/>
  <c r="E95" i="2"/>
  <c r="M95" i="2" s="1"/>
  <c r="N95" i="2" s="1"/>
  <c r="E94" i="2"/>
  <c r="E93" i="2"/>
  <c r="E92" i="2"/>
  <c r="E91" i="2"/>
  <c r="M91" i="2" s="1"/>
  <c r="N91" i="2" s="1"/>
  <c r="E90" i="2"/>
  <c r="E89" i="2"/>
  <c r="E88" i="2"/>
  <c r="E87" i="2"/>
  <c r="M87" i="2" s="1"/>
  <c r="N87" i="2" s="1"/>
  <c r="E86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E81" i="2"/>
  <c r="E80" i="2"/>
  <c r="E79" i="2"/>
  <c r="M79" i="2" s="1"/>
  <c r="N79" i="2" s="1"/>
  <c r="E78" i="2"/>
  <c r="E77" i="2"/>
  <c r="E76" i="2"/>
  <c r="E75" i="2"/>
  <c r="E74" i="2"/>
  <c r="D81" i="2"/>
  <c r="D80" i="2"/>
  <c r="D79" i="2"/>
  <c r="D78" i="2"/>
  <c r="D77" i="2"/>
  <c r="D76" i="2"/>
  <c r="D75" i="2"/>
  <c r="D74" i="2"/>
  <c r="E64" i="2"/>
  <c r="E63" i="2"/>
  <c r="E62" i="2"/>
  <c r="M62" i="2" s="1"/>
  <c r="N62" i="2" s="1"/>
  <c r="E61" i="2"/>
  <c r="E60" i="2"/>
  <c r="E59" i="2"/>
  <c r="M59" i="2" s="1"/>
  <c r="N59" i="2" s="1"/>
  <c r="E58" i="2"/>
  <c r="M58" i="2" s="1"/>
  <c r="N58" i="2" s="1"/>
  <c r="E57" i="2"/>
  <c r="E56" i="2"/>
  <c r="E55" i="2"/>
  <c r="E54" i="2"/>
  <c r="M54" i="2" s="1"/>
  <c r="N54" i="2" s="1"/>
  <c r="D64" i="2"/>
  <c r="D63" i="2"/>
  <c r="D62" i="2"/>
  <c r="D61" i="2"/>
  <c r="D60" i="2"/>
  <c r="D59" i="2"/>
  <c r="D58" i="2"/>
  <c r="D57" i="2"/>
  <c r="D56" i="2"/>
  <c r="D55" i="2"/>
  <c r="D54" i="2"/>
  <c r="M124" i="2" l="1"/>
  <c r="N124" i="2" s="1"/>
  <c r="M75" i="2"/>
  <c r="N75" i="2" s="1"/>
  <c r="M127" i="2"/>
  <c r="N127" i="2" s="1"/>
  <c r="M76" i="2"/>
  <c r="N76" i="2" s="1"/>
  <c r="M111" i="2"/>
  <c r="N111" i="2" s="1"/>
  <c r="M88" i="2"/>
  <c r="N88" i="2" s="1"/>
  <c r="M112" i="2"/>
  <c r="N112" i="2" s="1"/>
  <c r="M77" i="2"/>
  <c r="N77" i="2" s="1"/>
  <c r="M61" i="2"/>
  <c r="N61" i="2" s="1"/>
  <c r="M78" i="2"/>
  <c r="N78" i="2" s="1"/>
  <c r="M89" i="2"/>
  <c r="N89" i="2" s="1"/>
  <c r="M97" i="2"/>
  <c r="N97" i="2" s="1"/>
  <c r="M113" i="2"/>
  <c r="N113" i="2" s="1"/>
  <c r="M122" i="2"/>
  <c r="N122" i="2" s="1"/>
  <c r="M130" i="2"/>
  <c r="N130" i="2" s="1"/>
  <c r="M60" i="2"/>
  <c r="N60" i="2" s="1"/>
  <c r="M129" i="2"/>
  <c r="N129" i="2" s="1"/>
  <c r="M90" i="2"/>
  <c r="N90" i="2" s="1"/>
  <c r="M98" i="2"/>
  <c r="N98" i="2" s="1"/>
  <c r="M114" i="2"/>
  <c r="M64" i="2"/>
  <c r="N64" i="2" s="1"/>
  <c r="M81" i="2"/>
  <c r="N81" i="2" s="1"/>
  <c r="M57" i="2"/>
  <c r="D103" i="2"/>
  <c r="M93" i="2"/>
  <c r="N93" i="2" s="1"/>
  <c r="M101" i="2"/>
  <c r="N101" i="2" s="1"/>
  <c r="M117" i="2"/>
  <c r="N117" i="2" s="1"/>
  <c r="M126" i="2"/>
  <c r="N126" i="2" s="1"/>
  <c r="M152" i="2"/>
  <c r="N152" i="2" s="1"/>
  <c r="H16" i="28"/>
  <c r="I16" i="28" s="1"/>
  <c r="M56" i="2"/>
  <c r="N56" i="2" s="1"/>
  <c r="M125" i="2"/>
  <c r="N125" i="2" s="1"/>
  <c r="M170" i="2"/>
  <c r="N170" i="2" s="1"/>
  <c r="M80" i="2"/>
  <c r="N80" i="2" s="1"/>
  <c r="F172" i="2"/>
  <c r="M55" i="2"/>
  <c r="N55" i="2" s="1"/>
  <c r="M63" i="2"/>
  <c r="M92" i="2"/>
  <c r="N92" i="2" s="1"/>
  <c r="M100" i="2"/>
  <c r="N100" i="2" s="1"/>
  <c r="M116" i="2"/>
  <c r="N116" i="2" s="1"/>
  <c r="F23" i="2"/>
  <c r="F25" i="2" s="1"/>
  <c r="M169" i="2"/>
  <c r="N169" i="2" s="1"/>
  <c r="M86" i="2"/>
  <c r="N86" i="2" s="1"/>
  <c r="M94" i="2"/>
  <c r="N94" i="2" s="1"/>
  <c r="M102" i="2"/>
  <c r="N102" i="2" s="1"/>
  <c r="M128" i="2"/>
  <c r="N128" i="2" s="1"/>
  <c r="M171" i="2"/>
  <c r="N171" i="2" s="1"/>
  <c r="H172" i="2"/>
  <c r="F41" i="2"/>
  <c r="F51" i="2"/>
  <c r="E18" i="23"/>
  <c r="F103" i="2"/>
  <c r="F119" i="2"/>
  <c r="E154" i="2"/>
  <c r="M154" i="2" s="1"/>
  <c r="N154" i="2" s="1"/>
  <c r="F13" i="2"/>
  <c r="F83" i="2"/>
  <c r="F133" i="2"/>
  <c r="F65" i="2"/>
  <c r="F163" i="2"/>
  <c r="H13" i="2"/>
  <c r="G172" i="2"/>
  <c r="H41" i="2"/>
  <c r="H83" i="2"/>
  <c r="H103" i="2"/>
  <c r="H119" i="2"/>
  <c r="H133" i="2"/>
  <c r="G119" i="2"/>
  <c r="G83" i="2"/>
  <c r="G103" i="2"/>
  <c r="G41" i="2"/>
  <c r="G65" i="2"/>
  <c r="G51" i="2"/>
  <c r="G133" i="2"/>
  <c r="G160" i="2"/>
  <c r="G163" i="2" s="1"/>
  <c r="D65" i="2"/>
  <c r="E18" i="28" l="1"/>
  <c r="E25" i="28" s="1"/>
  <c r="H25" i="28" s="1"/>
  <c r="I25" i="28" s="1"/>
  <c r="F68" i="2"/>
  <c r="F136" i="2"/>
  <c r="F106" i="2"/>
  <c r="H106" i="2"/>
  <c r="J16" i="23"/>
  <c r="D18" i="23"/>
  <c r="N16" i="23"/>
  <c r="F18" i="23"/>
  <c r="G106" i="2"/>
  <c r="E49" i="2"/>
  <c r="M49" i="2" s="1"/>
  <c r="N49" i="2" s="1"/>
  <c r="E48" i="2"/>
  <c r="M48" i="2" s="1"/>
  <c r="E47" i="2"/>
  <c r="M47" i="2" s="1"/>
  <c r="E46" i="2"/>
  <c r="M46" i="2" s="1"/>
  <c r="N46" i="2" s="1"/>
  <c r="E45" i="2"/>
  <c r="M45" i="2" s="1"/>
  <c r="N45" i="2" s="1"/>
  <c r="E44" i="2"/>
  <c r="M44" i="2" s="1"/>
  <c r="N44" i="2" s="1"/>
  <c r="D49" i="2"/>
  <c r="D48" i="2"/>
  <c r="D47" i="2"/>
  <c r="D46" i="2"/>
  <c r="D45" i="2"/>
  <c r="D44" i="2"/>
  <c r="E40" i="2"/>
  <c r="M40" i="2" s="1"/>
  <c r="N40" i="2" s="1"/>
  <c r="E39" i="2"/>
  <c r="M39" i="2" s="1"/>
  <c r="E38" i="2"/>
  <c r="M38" i="2" s="1"/>
  <c r="N38" i="2" s="1"/>
  <c r="E37" i="2"/>
  <c r="M37" i="2" s="1"/>
  <c r="N37" i="2" s="1"/>
  <c r="E36" i="2"/>
  <c r="M36" i="2" s="1"/>
  <c r="N36" i="2" s="1"/>
  <c r="E35" i="2"/>
  <c r="M35" i="2" s="1"/>
  <c r="N35" i="2" s="1"/>
  <c r="E34" i="2"/>
  <c r="M34" i="2" s="1"/>
  <c r="N34" i="2" s="1"/>
  <c r="E33" i="2"/>
  <c r="M33" i="2" s="1"/>
  <c r="E32" i="2"/>
  <c r="M32" i="2" s="1"/>
  <c r="N32" i="2" s="1"/>
  <c r="E31" i="2"/>
  <c r="M31" i="2" s="1"/>
  <c r="N31" i="2" s="1"/>
  <c r="D40" i="2"/>
  <c r="D39" i="2"/>
  <c r="D38" i="2"/>
  <c r="D37" i="2"/>
  <c r="D36" i="2"/>
  <c r="D35" i="2"/>
  <c r="D34" i="2"/>
  <c r="D33" i="2"/>
  <c r="D32" i="2"/>
  <c r="D31" i="2"/>
  <c r="E22" i="2"/>
  <c r="M22" i="2" s="1"/>
  <c r="N22" i="2" s="1"/>
  <c r="E21" i="2"/>
  <c r="M21" i="2" s="1"/>
  <c r="N21" i="2" s="1"/>
  <c r="E20" i="2"/>
  <c r="M20" i="2" s="1"/>
  <c r="N20" i="2" s="1"/>
  <c r="D22" i="2"/>
  <c r="D21" i="2"/>
  <c r="D20" i="2"/>
  <c r="E16" i="2"/>
  <c r="M16" i="2" s="1"/>
  <c r="N16" i="2" s="1"/>
  <c r="D16" i="2"/>
  <c r="E15" i="2"/>
  <c r="M15" i="2" s="1"/>
  <c r="N15" i="2" s="1"/>
  <c r="D15" i="2"/>
  <c r="D103" i="1"/>
  <c r="E154" i="1"/>
  <c r="E41" i="1"/>
  <c r="E5" i="1" s="1"/>
  <c r="H5" i="23" s="1"/>
  <c r="H6" i="23" s="1"/>
  <c r="E51" i="1"/>
  <c r="E65" i="1"/>
  <c r="E73" i="1"/>
  <c r="E83" i="1"/>
  <c r="E106" i="1" s="1"/>
  <c r="E110" i="1"/>
  <c r="E119" i="1"/>
  <c r="E133" i="1"/>
  <c r="E141" i="1"/>
  <c r="E160" i="1"/>
  <c r="E168" i="1"/>
  <c r="E172" i="1"/>
  <c r="E175" i="1" s="1"/>
  <c r="D172" i="1"/>
  <c r="D175" i="1" s="1"/>
  <c r="F171" i="1"/>
  <c r="F170" i="1"/>
  <c r="F169" i="1"/>
  <c r="D168" i="1"/>
  <c r="D160" i="1"/>
  <c r="F159" i="1"/>
  <c r="F158" i="1"/>
  <c r="F157" i="1"/>
  <c r="D154" i="1"/>
  <c r="F153" i="1"/>
  <c r="F152" i="1"/>
  <c r="D141" i="1"/>
  <c r="D133" i="1"/>
  <c r="F132" i="1"/>
  <c r="F131" i="1"/>
  <c r="F130" i="1"/>
  <c r="F129" i="1"/>
  <c r="F128" i="1"/>
  <c r="F127" i="1"/>
  <c r="F126" i="1"/>
  <c r="F125" i="1"/>
  <c r="F124" i="1"/>
  <c r="F123" i="1"/>
  <c r="F122" i="1"/>
  <c r="D119" i="1"/>
  <c r="D10" i="1" s="1"/>
  <c r="F118" i="1"/>
  <c r="F117" i="1"/>
  <c r="F116" i="1"/>
  <c r="F115" i="1"/>
  <c r="F114" i="1"/>
  <c r="F113" i="1"/>
  <c r="F112" i="1"/>
  <c r="F111" i="1"/>
  <c r="D110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D83" i="1"/>
  <c r="F82" i="1"/>
  <c r="F81" i="1"/>
  <c r="F80" i="1"/>
  <c r="F79" i="1"/>
  <c r="F78" i="1"/>
  <c r="F77" i="1"/>
  <c r="F76" i="1"/>
  <c r="F75" i="1"/>
  <c r="F74" i="1"/>
  <c r="D73" i="1"/>
  <c r="D65" i="1"/>
  <c r="F64" i="1"/>
  <c r="F63" i="1"/>
  <c r="F62" i="1"/>
  <c r="F61" i="1"/>
  <c r="F60" i="1"/>
  <c r="F59" i="1"/>
  <c r="F58" i="1"/>
  <c r="F57" i="1"/>
  <c r="F56" i="1"/>
  <c r="F55" i="1"/>
  <c r="F54" i="1"/>
  <c r="D51" i="1"/>
  <c r="D8" i="1" s="1"/>
  <c r="F50" i="1"/>
  <c r="F49" i="1"/>
  <c r="F48" i="1"/>
  <c r="F47" i="1"/>
  <c r="F46" i="1"/>
  <c r="F45" i="1"/>
  <c r="F44" i="1"/>
  <c r="D41" i="1"/>
  <c r="D5" i="1" s="1"/>
  <c r="E6" i="23" s="1"/>
  <c r="F40" i="1"/>
  <c r="F39" i="1"/>
  <c r="F38" i="1"/>
  <c r="F37" i="1"/>
  <c r="F36" i="1"/>
  <c r="F35" i="1"/>
  <c r="F34" i="1"/>
  <c r="F33" i="1"/>
  <c r="F32" i="1"/>
  <c r="F31" i="1"/>
  <c r="E30" i="1"/>
  <c r="D30" i="1"/>
  <c r="F24" i="1"/>
  <c r="E23" i="1"/>
  <c r="D23" i="1"/>
  <c r="F22" i="1"/>
  <c r="F21" i="1"/>
  <c r="F20" i="1"/>
  <c r="F19" i="1"/>
  <c r="E18" i="1"/>
  <c r="D18" i="1"/>
  <c r="F17" i="1"/>
  <c r="F16" i="1"/>
  <c r="F15" i="1"/>
  <c r="F14" i="1"/>
  <c r="F7" i="1"/>
  <c r="D8" i="2" l="1"/>
  <c r="D11" i="1"/>
  <c r="D10" i="2"/>
  <c r="F5" i="1"/>
  <c r="E5" i="2"/>
  <c r="M5" i="2" s="1"/>
  <c r="N5" i="2" s="1"/>
  <c r="D12" i="1"/>
  <c r="E68" i="1"/>
  <c r="D106" i="1"/>
  <c r="F106" i="1" s="1"/>
  <c r="J18" i="23"/>
  <c r="E11" i="1"/>
  <c r="H11" i="23" s="1"/>
  <c r="J31" i="2"/>
  <c r="K31" i="2" s="1"/>
  <c r="K16" i="23"/>
  <c r="D6" i="1"/>
  <c r="D5" i="2"/>
  <c r="E10" i="1"/>
  <c r="E9" i="1"/>
  <c r="H9" i="23" s="1"/>
  <c r="E8" i="1"/>
  <c r="H8" i="23" s="1"/>
  <c r="D9" i="1"/>
  <c r="F23" i="1"/>
  <c r="F18" i="1"/>
  <c r="E12" i="1"/>
  <c r="H12" i="23" s="1"/>
  <c r="D163" i="1"/>
  <c r="F160" i="1"/>
  <c r="E163" i="1"/>
  <c r="F154" i="1"/>
  <c r="E136" i="1"/>
  <c r="D136" i="1"/>
  <c r="F119" i="1"/>
  <c r="F83" i="1"/>
  <c r="F65" i="1"/>
  <c r="F51" i="1"/>
  <c r="F41" i="1"/>
  <c r="F172" i="1"/>
  <c r="F175" i="1"/>
  <c r="F103" i="1"/>
  <c r="E6" i="1"/>
  <c r="D68" i="1"/>
  <c r="F133" i="1"/>
  <c r="J5" i="2" l="1"/>
  <c r="K5" i="2" s="1"/>
  <c r="F10" i="1"/>
  <c r="H10" i="23"/>
  <c r="H13" i="23" s="1"/>
  <c r="H25" i="23" s="1"/>
  <c r="D13" i="1"/>
  <c r="E13" i="23"/>
  <c r="E25" i="23" s="1"/>
  <c r="D11" i="2"/>
  <c r="J5" i="23"/>
  <c r="K5" i="23" s="1"/>
  <c r="D6" i="23"/>
  <c r="E8" i="2"/>
  <c r="M8" i="2" s="1"/>
  <c r="N8" i="2" s="1"/>
  <c r="D9" i="2"/>
  <c r="E9" i="2"/>
  <c r="M9" i="2" s="1"/>
  <c r="N9" i="2" s="1"/>
  <c r="E10" i="2"/>
  <c r="M10" i="2" s="1"/>
  <c r="N10" i="2" s="1"/>
  <c r="N10" i="23"/>
  <c r="F6" i="1"/>
  <c r="N12" i="23"/>
  <c r="N5" i="23"/>
  <c r="F6" i="23"/>
  <c r="N11" i="23"/>
  <c r="J12" i="23"/>
  <c r="K12" i="23" s="1"/>
  <c r="D12" i="2"/>
  <c r="F12" i="1"/>
  <c r="E12" i="2"/>
  <c r="M12" i="2" s="1"/>
  <c r="N12" i="2" s="1"/>
  <c r="F11" i="1"/>
  <c r="E11" i="2"/>
  <c r="M11" i="2" s="1"/>
  <c r="N11" i="2" s="1"/>
  <c r="F136" i="1"/>
  <c r="F9" i="1"/>
  <c r="F8" i="1"/>
  <c r="E13" i="1"/>
  <c r="D25" i="1"/>
  <c r="F163" i="1"/>
  <c r="F68" i="1"/>
  <c r="N9" i="23" l="1"/>
  <c r="J9" i="23"/>
  <c r="K9" i="23" s="1"/>
  <c r="J11" i="23"/>
  <c r="K11" i="23" s="1"/>
  <c r="N8" i="23"/>
  <c r="F13" i="23"/>
  <c r="J6" i="23"/>
  <c r="J10" i="23"/>
  <c r="K10" i="23" s="1"/>
  <c r="J8" i="23"/>
  <c r="K8" i="23" s="1"/>
  <c r="D13" i="23"/>
  <c r="D25" i="23" s="1"/>
  <c r="F13" i="1"/>
  <c r="E25" i="1"/>
  <c r="F25" i="1" s="1"/>
  <c r="M14" i="23" l="1"/>
  <c r="F25" i="23"/>
  <c r="J13" i="23"/>
  <c r="J14" i="23" s="1"/>
  <c r="N6" i="23"/>
  <c r="M7" i="23"/>
  <c r="K6" i="23"/>
  <c r="J7" i="23"/>
  <c r="N13" i="23" l="1"/>
  <c r="J25" i="23"/>
  <c r="K25" i="23" s="1"/>
  <c r="K13" i="23"/>
  <c r="D13" i="2"/>
  <c r="E172" i="2"/>
  <c r="D172" i="2"/>
  <c r="J171" i="2"/>
  <c r="K171" i="2" s="1"/>
  <c r="J170" i="2"/>
  <c r="K170" i="2" s="1"/>
  <c r="J169" i="2"/>
  <c r="K169" i="2" s="1"/>
  <c r="D168" i="2"/>
  <c r="E160" i="2"/>
  <c r="D160" i="2"/>
  <c r="J159" i="2"/>
  <c r="K159" i="2" s="1"/>
  <c r="J158" i="2"/>
  <c r="J157" i="2"/>
  <c r="D154" i="2"/>
  <c r="J153" i="2"/>
  <c r="K153" i="2" s="1"/>
  <c r="J152" i="2"/>
  <c r="K152" i="2" s="1"/>
  <c r="D141" i="2"/>
  <c r="E133" i="2"/>
  <c r="M133" i="2" s="1"/>
  <c r="N133" i="2" s="1"/>
  <c r="D133" i="2"/>
  <c r="J132" i="2"/>
  <c r="K132" i="2" s="1"/>
  <c r="J131" i="2"/>
  <c r="K131" i="2" s="1"/>
  <c r="J130" i="2"/>
  <c r="K130" i="2" s="1"/>
  <c r="J129" i="2"/>
  <c r="K129" i="2" s="1"/>
  <c r="J128" i="2"/>
  <c r="K128" i="2" s="1"/>
  <c r="J127" i="2"/>
  <c r="K127" i="2" s="1"/>
  <c r="J126" i="2"/>
  <c r="K126" i="2" s="1"/>
  <c r="J125" i="2"/>
  <c r="K125" i="2" s="1"/>
  <c r="J124" i="2"/>
  <c r="K124" i="2" s="1"/>
  <c r="J123" i="2"/>
  <c r="K123" i="2" s="1"/>
  <c r="J122" i="2"/>
  <c r="K122" i="2" s="1"/>
  <c r="E119" i="2"/>
  <c r="M119" i="2" s="1"/>
  <c r="N119" i="2" s="1"/>
  <c r="D119" i="2"/>
  <c r="J118" i="2"/>
  <c r="J117" i="2"/>
  <c r="K117" i="2" s="1"/>
  <c r="J116" i="2"/>
  <c r="K116" i="2" s="1"/>
  <c r="J115" i="2"/>
  <c r="K115" i="2" s="1"/>
  <c r="J114" i="2"/>
  <c r="J113" i="2"/>
  <c r="K113" i="2" s="1"/>
  <c r="J112" i="2"/>
  <c r="K112" i="2" s="1"/>
  <c r="J111" i="2"/>
  <c r="K111" i="2" s="1"/>
  <c r="D110" i="2"/>
  <c r="E103" i="2"/>
  <c r="M103" i="2" s="1"/>
  <c r="N103" i="2" s="1"/>
  <c r="J102" i="2"/>
  <c r="K102" i="2" s="1"/>
  <c r="J101" i="2"/>
  <c r="K101" i="2" s="1"/>
  <c r="J100" i="2"/>
  <c r="K100" i="2" s="1"/>
  <c r="J99" i="2"/>
  <c r="K99" i="2" s="1"/>
  <c r="J98" i="2"/>
  <c r="K98" i="2" s="1"/>
  <c r="J97" i="2"/>
  <c r="K97" i="2" s="1"/>
  <c r="J96" i="2"/>
  <c r="K96" i="2" s="1"/>
  <c r="J95" i="2"/>
  <c r="K95" i="2" s="1"/>
  <c r="J94" i="2"/>
  <c r="K94" i="2" s="1"/>
  <c r="J93" i="2"/>
  <c r="K93" i="2" s="1"/>
  <c r="J92" i="2"/>
  <c r="K92" i="2" s="1"/>
  <c r="J91" i="2"/>
  <c r="K91" i="2" s="1"/>
  <c r="J90" i="2"/>
  <c r="K90" i="2" s="1"/>
  <c r="J89" i="2"/>
  <c r="K89" i="2" s="1"/>
  <c r="J88" i="2"/>
  <c r="K88" i="2" s="1"/>
  <c r="J87" i="2"/>
  <c r="K87" i="2" s="1"/>
  <c r="J86" i="2"/>
  <c r="K86" i="2" s="1"/>
  <c r="E83" i="2"/>
  <c r="M83" i="2" s="1"/>
  <c r="N83" i="2" s="1"/>
  <c r="D83" i="2"/>
  <c r="J82" i="2"/>
  <c r="J81" i="2"/>
  <c r="K81" i="2" s="1"/>
  <c r="J80" i="2"/>
  <c r="K80" i="2" s="1"/>
  <c r="J79" i="2"/>
  <c r="K79" i="2" s="1"/>
  <c r="J78" i="2"/>
  <c r="K78" i="2" s="1"/>
  <c r="J77" i="2"/>
  <c r="K77" i="2" s="1"/>
  <c r="J76" i="2"/>
  <c r="K76" i="2" s="1"/>
  <c r="J75" i="2"/>
  <c r="K75" i="2" s="1"/>
  <c r="J74" i="2"/>
  <c r="K74" i="2" s="1"/>
  <c r="D73" i="2"/>
  <c r="E65" i="2"/>
  <c r="M65" i="2" s="1"/>
  <c r="N65" i="2" s="1"/>
  <c r="J64" i="2"/>
  <c r="K64" i="2" s="1"/>
  <c r="J63" i="2"/>
  <c r="J62" i="2"/>
  <c r="K62" i="2" s="1"/>
  <c r="J61" i="2"/>
  <c r="K61" i="2" s="1"/>
  <c r="J60" i="2"/>
  <c r="K60" i="2" s="1"/>
  <c r="J59" i="2"/>
  <c r="K59" i="2" s="1"/>
  <c r="J58" i="2"/>
  <c r="K58" i="2" s="1"/>
  <c r="J57" i="2"/>
  <c r="J56" i="2"/>
  <c r="K56" i="2" s="1"/>
  <c r="J55" i="2"/>
  <c r="K55" i="2" s="1"/>
  <c r="J54" i="2"/>
  <c r="K54" i="2" s="1"/>
  <c r="E51" i="2"/>
  <c r="M51" i="2" s="1"/>
  <c r="N51" i="2" s="1"/>
  <c r="D51" i="2"/>
  <c r="J50" i="2"/>
  <c r="J49" i="2"/>
  <c r="K49" i="2" s="1"/>
  <c r="J48" i="2"/>
  <c r="J47" i="2"/>
  <c r="J46" i="2"/>
  <c r="K46" i="2" s="1"/>
  <c r="J45" i="2"/>
  <c r="K45" i="2" s="1"/>
  <c r="J44" i="2"/>
  <c r="K44" i="2" s="1"/>
  <c r="E41" i="2"/>
  <c r="M41" i="2" s="1"/>
  <c r="N41" i="2" s="1"/>
  <c r="D41" i="2"/>
  <c r="J40" i="2"/>
  <c r="K40" i="2" s="1"/>
  <c r="J39" i="2"/>
  <c r="J38" i="2"/>
  <c r="K38" i="2" s="1"/>
  <c r="J37" i="2"/>
  <c r="K37" i="2" s="1"/>
  <c r="J36" i="2"/>
  <c r="K36" i="2" s="1"/>
  <c r="J35" i="2"/>
  <c r="K35" i="2" s="1"/>
  <c r="J34" i="2"/>
  <c r="K34" i="2" s="1"/>
  <c r="J33" i="2"/>
  <c r="J32" i="2"/>
  <c r="K32" i="2" s="1"/>
  <c r="D30" i="2"/>
  <c r="J24" i="2"/>
  <c r="E23" i="2"/>
  <c r="M23" i="2" s="1"/>
  <c r="D23" i="2"/>
  <c r="J22" i="2"/>
  <c r="K22" i="2" s="1"/>
  <c r="J21" i="2"/>
  <c r="K21" i="2" s="1"/>
  <c r="J20" i="2"/>
  <c r="K20" i="2" s="1"/>
  <c r="J19" i="2"/>
  <c r="E18" i="2"/>
  <c r="M18" i="2" s="1"/>
  <c r="D18" i="2"/>
  <c r="J17" i="2"/>
  <c r="J16" i="2"/>
  <c r="K16" i="2" s="1"/>
  <c r="J15" i="2"/>
  <c r="K15" i="2" s="1"/>
  <c r="D6" i="2"/>
  <c r="E6" i="2"/>
  <c r="M6" i="2" s="1"/>
  <c r="K171" i="1"/>
  <c r="K170" i="1"/>
  <c r="K169" i="1"/>
  <c r="K159" i="1"/>
  <c r="K158" i="1"/>
  <c r="K153" i="1"/>
  <c r="K152" i="1"/>
  <c r="K132" i="1"/>
  <c r="K131" i="1"/>
  <c r="K130" i="1"/>
  <c r="K129" i="1"/>
  <c r="K128" i="1"/>
  <c r="K127" i="1"/>
  <c r="K126" i="1"/>
  <c r="K125" i="1"/>
  <c r="K124" i="1"/>
  <c r="K123" i="1"/>
  <c r="K122" i="1"/>
  <c r="K117" i="1"/>
  <c r="K116" i="1"/>
  <c r="K115" i="1"/>
  <c r="K114" i="1"/>
  <c r="K113" i="1"/>
  <c r="K112" i="1"/>
  <c r="K111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1" i="1"/>
  <c r="K80" i="1"/>
  <c r="K79" i="1"/>
  <c r="K78" i="1"/>
  <c r="K77" i="1"/>
  <c r="K76" i="1"/>
  <c r="K75" i="1"/>
  <c r="K74" i="1"/>
  <c r="K63" i="1"/>
  <c r="K62" i="1"/>
  <c r="K61" i="1"/>
  <c r="K60" i="1"/>
  <c r="K59" i="1"/>
  <c r="K58" i="1"/>
  <c r="K57" i="1"/>
  <c r="K56" i="1"/>
  <c r="K55" i="1"/>
  <c r="K54" i="1"/>
  <c r="K49" i="1"/>
  <c r="K48" i="1"/>
  <c r="K46" i="1"/>
  <c r="K45" i="1"/>
  <c r="K44" i="1"/>
  <c r="K30" i="1"/>
  <c r="K73" i="1" s="1"/>
  <c r="K110" i="1" s="1"/>
  <c r="K141" i="1" s="1"/>
  <c r="K168" i="1" s="1"/>
  <c r="K40" i="1"/>
  <c r="K39" i="1"/>
  <c r="K38" i="1"/>
  <c r="K37" i="1"/>
  <c r="K36" i="1"/>
  <c r="K35" i="1"/>
  <c r="K34" i="1"/>
  <c r="K33" i="1"/>
  <c r="K32" i="1"/>
  <c r="K31" i="1"/>
  <c r="K22" i="1"/>
  <c r="K21" i="1"/>
  <c r="K20" i="1"/>
  <c r="K16" i="1"/>
  <c r="K15" i="1"/>
  <c r="K12" i="1"/>
  <c r="K11" i="1"/>
  <c r="K10" i="1"/>
  <c r="K9" i="1"/>
  <c r="K8" i="1"/>
  <c r="K6" i="1"/>
  <c r="I171" i="1"/>
  <c r="I170" i="1"/>
  <c r="I169" i="1"/>
  <c r="I159" i="1"/>
  <c r="I158" i="1"/>
  <c r="I157" i="1"/>
  <c r="I153" i="1"/>
  <c r="I152" i="1"/>
  <c r="I132" i="1"/>
  <c r="I131" i="1"/>
  <c r="I130" i="1"/>
  <c r="I129" i="1"/>
  <c r="I128" i="1"/>
  <c r="I127" i="1"/>
  <c r="I126" i="1"/>
  <c r="I125" i="1"/>
  <c r="I124" i="1"/>
  <c r="I123" i="1"/>
  <c r="I122" i="1"/>
  <c r="I118" i="1"/>
  <c r="I117" i="1"/>
  <c r="I116" i="1"/>
  <c r="I115" i="1"/>
  <c r="I114" i="1"/>
  <c r="I113" i="1"/>
  <c r="I112" i="1"/>
  <c r="I111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2" i="1"/>
  <c r="I81" i="1"/>
  <c r="I80" i="1"/>
  <c r="I79" i="1"/>
  <c r="I78" i="1"/>
  <c r="I77" i="1"/>
  <c r="I76" i="1"/>
  <c r="I75" i="1"/>
  <c r="I74" i="1"/>
  <c r="I64" i="1"/>
  <c r="I63" i="1"/>
  <c r="I62" i="1"/>
  <c r="I61" i="1"/>
  <c r="I60" i="1"/>
  <c r="I59" i="1"/>
  <c r="I58" i="1"/>
  <c r="I57" i="1"/>
  <c r="I56" i="1"/>
  <c r="I55" i="1"/>
  <c r="I54" i="1"/>
  <c r="I50" i="1"/>
  <c r="I49" i="1"/>
  <c r="I48" i="1"/>
  <c r="I47" i="1"/>
  <c r="I46" i="1"/>
  <c r="I45" i="1"/>
  <c r="I44" i="1"/>
  <c r="I40" i="1"/>
  <c r="I39" i="1"/>
  <c r="I38" i="1"/>
  <c r="I37" i="1"/>
  <c r="I36" i="1"/>
  <c r="I35" i="1"/>
  <c r="I34" i="1"/>
  <c r="I33" i="1"/>
  <c r="I32" i="1"/>
  <c r="I31" i="1"/>
  <c r="I7" i="1"/>
  <c r="I14" i="1"/>
  <c r="I15" i="1"/>
  <c r="I16" i="1"/>
  <c r="I17" i="1"/>
  <c r="I19" i="1"/>
  <c r="I20" i="1"/>
  <c r="I21" i="1"/>
  <c r="I22" i="1"/>
  <c r="I24" i="1"/>
  <c r="J6" i="1"/>
  <c r="J13" i="1"/>
  <c r="J18" i="1"/>
  <c r="J30" i="1"/>
  <c r="E163" i="2" l="1"/>
  <c r="M163" i="2" s="1"/>
  <c r="N163" i="2" s="1"/>
  <c r="M160" i="2"/>
  <c r="N160" i="2" s="1"/>
  <c r="D25" i="2"/>
  <c r="M7" i="2"/>
  <c r="N6" i="2"/>
  <c r="J12" i="2"/>
  <c r="K12" i="2" s="1"/>
  <c r="M172" i="2"/>
  <c r="N172" i="2" s="1"/>
  <c r="J9" i="2"/>
  <c r="K9" i="2" s="1"/>
  <c r="H18" i="2"/>
  <c r="H23" i="2"/>
  <c r="H25" i="2"/>
  <c r="G18" i="2"/>
  <c r="G23" i="2"/>
  <c r="K13" i="1"/>
  <c r="J41" i="2"/>
  <c r="K41" i="2" s="1"/>
  <c r="D68" i="2"/>
  <c r="E68" i="2"/>
  <c r="M68" i="2" s="1"/>
  <c r="N68" i="2" s="1"/>
  <c r="J10" i="2"/>
  <c r="K10" i="2" s="1"/>
  <c r="J18" i="2"/>
  <c r="E106" i="2"/>
  <c r="M106" i="2" s="1"/>
  <c r="N106" i="2" s="1"/>
  <c r="J51" i="2"/>
  <c r="K51" i="2" s="1"/>
  <c r="J8" i="2"/>
  <c r="K8" i="2" s="1"/>
  <c r="D136" i="2"/>
  <c r="J172" i="2"/>
  <c r="K172" i="2" s="1"/>
  <c r="J23" i="2"/>
  <c r="E136" i="2"/>
  <c r="M136" i="2" s="1"/>
  <c r="N136" i="2" s="1"/>
  <c r="D163" i="2"/>
  <c r="J163" i="2" s="1"/>
  <c r="K163" i="2" s="1"/>
  <c r="J119" i="2"/>
  <c r="K119" i="2" s="1"/>
  <c r="J154" i="2"/>
  <c r="K154" i="2" s="1"/>
  <c r="J6" i="2"/>
  <c r="K6" i="2" s="1"/>
  <c r="D106" i="2"/>
  <c r="J83" i="2"/>
  <c r="K83" i="2" s="1"/>
  <c r="J160" i="2"/>
  <c r="K160" i="2" s="1"/>
  <c r="J11" i="2"/>
  <c r="K11" i="2" s="1"/>
  <c r="J65" i="2"/>
  <c r="K65" i="2" s="1"/>
  <c r="J103" i="2"/>
  <c r="K103" i="2" s="1"/>
  <c r="J133" i="2"/>
  <c r="K133" i="2" s="1"/>
  <c r="J23" i="1"/>
  <c r="J25" i="1" s="1"/>
  <c r="H136" i="2" l="1"/>
  <c r="J7" i="2"/>
  <c r="G68" i="2"/>
  <c r="G136" i="2"/>
  <c r="J68" i="2"/>
  <c r="K68" i="2" s="1"/>
  <c r="J106" i="2"/>
  <c r="K106" i="2" s="1"/>
  <c r="J136" i="2"/>
  <c r="K136" i="2" s="1"/>
  <c r="E13" i="2"/>
  <c r="M13" i="2" s="1"/>
  <c r="V172" i="1"/>
  <c r="V175" i="1" s="1"/>
  <c r="U172" i="1"/>
  <c r="T172" i="1"/>
  <c r="S172" i="1"/>
  <c r="S175" i="1" s="1"/>
  <c r="R172" i="1"/>
  <c r="R175" i="1" s="1"/>
  <c r="Q172" i="1"/>
  <c r="P172" i="1"/>
  <c r="O172" i="1"/>
  <c r="O175" i="1" s="1"/>
  <c r="N172" i="1"/>
  <c r="N175" i="1" s="1"/>
  <c r="L172" i="1"/>
  <c r="H172" i="1"/>
  <c r="H175" i="1" s="1"/>
  <c r="G172" i="1"/>
  <c r="X171" i="1"/>
  <c r="Y171" i="1" s="1"/>
  <c r="X170" i="1"/>
  <c r="Y170" i="1" s="1"/>
  <c r="X169" i="1"/>
  <c r="Y169" i="1" s="1"/>
  <c r="J172" i="1"/>
  <c r="J175" i="1" s="1"/>
  <c r="O168" i="1"/>
  <c r="J168" i="1"/>
  <c r="H168" i="1"/>
  <c r="G168" i="1"/>
  <c r="V160" i="1"/>
  <c r="U160" i="1"/>
  <c r="T160" i="1"/>
  <c r="S160" i="1"/>
  <c r="R160" i="1"/>
  <c r="Q160" i="1"/>
  <c r="L160" i="1"/>
  <c r="H160" i="1"/>
  <c r="H163" i="1" s="1"/>
  <c r="G160" i="1"/>
  <c r="X159" i="1"/>
  <c r="X158" i="1"/>
  <c r="X157" i="1"/>
  <c r="Y157" i="1" s="1"/>
  <c r="P157" i="1"/>
  <c r="P160" i="1" s="1"/>
  <c r="O157" i="1"/>
  <c r="O160" i="1" s="1"/>
  <c r="N157" i="1"/>
  <c r="N160" i="1" s="1"/>
  <c r="J157" i="1"/>
  <c r="V154" i="1"/>
  <c r="V11" i="1" s="1"/>
  <c r="U154" i="1"/>
  <c r="T154" i="1"/>
  <c r="S154" i="1"/>
  <c r="S163" i="1" s="1"/>
  <c r="R154" i="1"/>
  <c r="Q154" i="1"/>
  <c r="P154" i="1"/>
  <c r="O154" i="1"/>
  <c r="N154" i="1"/>
  <c r="L154" i="1"/>
  <c r="G154" i="1"/>
  <c r="X153" i="1"/>
  <c r="X152" i="1"/>
  <c r="Y152" i="1" s="1"/>
  <c r="J154" i="1"/>
  <c r="O141" i="1"/>
  <c r="J141" i="1"/>
  <c r="H141" i="1"/>
  <c r="G141" i="1"/>
  <c r="V133" i="1"/>
  <c r="U133" i="1"/>
  <c r="T133" i="1"/>
  <c r="S133" i="1"/>
  <c r="R133" i="1"/>
  <c r="Q133" i="1"/>
  <c r="P133" i="1"/>
  <c r="O133" i="1"/>
  <c r="N133" i="1"/>
  <c r="H133" i="1"/>
  <c r="G133" i="1"/>
  <c r="X132" i="1"/>
  <c r="Y132" i="1" s="1"/>
  <c r="X131" i="1"/>
  <c r="Y131" i="1" s="1"/>
  <c r="X130" i="1"/>
  <c r="Y130" i="1" s="1"/>
  <c r="X129" i="1"/>
  <c r="Y129" i="1" s="1"/>
  <c r="X128" i="1"/>
  <c r="Y128" i="1" s="1"/>
  <c r="X127" i="1"/>
  <c r="Y127" i="1" s="1"/>
  <c r="X126" i="1"/>
  <c r="Y126" i="1" s="1"/>
  <c r="X125" i="1"/>
  <c r="Y125" i="1" s="1"/>
  <c r="X124" i="1"/>
  <c r="Y124" i="1" s="1"/>
  <c r="X123" i="1"/>
  <c r="Y123" i="1" s="1"/>
  <c r="X122" i="1"/>
  <c r="Y122" i="1" s="1"/>
  <c r="J133" i="1"/>
  <c r="V119" i="1"/>
  <c r="U119" i="1"/>
  <c r="T119" i="1"/>
  <c r="S119" i="1"/>
  <c r="R119" i="1"/>
  <c r="Q119" i="1"/>
  <c r="P119" i="1"/>
  <c r="O119" i="1"/>
  <c r="N119" i="1"/>
  <c r="H119" i="1"/>
  <c r="G119" i="1"/>
  <c r="X117" i="1"/>
  <c r="Y117" i="1" s="1"/>
  <c r="X116" i="1"/>
  <c r="Y116" i="1" s="1"/>
  <c r="X115" i="1"/>
  <c r="Y115" i="1" s="1"/>
  <c r="X114" i="1"/>
  <c r="X113" i="1"/>
  <c r="Y113" i="1" s="1"/>
  <c r="X112" i="1"/>
  <c r="Y112" i="1" s="1"/>
  <c r="X111" i="1"/>
  <c r="Y111" i="1" s="1"/>
  <c r="J119" i="1"/>
  <c r="O110" i="1"/>
  <c r="J110" i="1"/>
  <c r="H110" i="1"/>
  <c r="G110" i="1"/>
  <c r="V103" i="1"/>
  <c r="U103" i="1"/>
  <c r="T103" i="1"/>
  <c r="S103" i="1"/>
  <c r="R103" i="1"/>
  <c r="Q103" i="1"/>
  <c r="O103" i="1"/>
  <c r="N103" i="1"/>
  <c r="H103" i="1"/>
  <c r="G103" i="1"/>
  <c r="X102" i="1"/>
  <c r="Y102" i="1" s="1"/>
  <c r="X101" i="1"/>
  <c r="Y101" i="1" s="1"/>
  <c r="X100" i="1"/>
  <c r="Y100" i="1" s="1"/>
  <c r="X99" i="1"/>
  <c r="Y99" i="1" s="1"/>
  <c r="X98" i="1"/>
  <c r="Y98" i="1" s="1"/>
  <c r="X97" i="1"/>
  <c r="Y97" i="1" s="1"/>
  <c r="X96" i="1"/>
  <c r="Y96" i="1" s="1"/>
  <c r="X95" i="1"/>
  <c r="Y95" i="1" s="1"/>
  <c r="X94" i="1"/>
  <c r="Y94" i="1" s="1"/>
  <c r="X93" i="1"/>
  <c r="Y93" i="1" s="1"/>
  <c r="X92" i="1"/>
  <c r="Y92" i="1" s="1"/>
  <c r="X91" i="1"/>
  <c r="Y91" i="1" s="1"/>
  <c r="X90" i="1"/>
  <c r="Y90" i="1" s="1"/>
  <c r="X89" i="1"/>
  <c r="Y89" i="1" s="1"/>
  <c r="P89" i="1"/>
  <c r="P103" i="1" s="1"/>
  <c r="X88" i="1"/>
  <c r="Y88" i="1" s="1"/>
  <c r="X87" i="1"/>
  <c r="Y87" i="1" s="1"/>
  <c r="X86" i="1"/>
  <c r="Y86" i="1" s="1"/>
  <c r="V83" i="1"/>
  <c r="U83" i="1"/>
  <c r="T83" i="1"/>
  <c r="S83" i="1"/>
  <c r="R83" i="1"/>
  <c r="Q83" i="1"/>
  <c r="P83" i="1"/>
  <c r="O83" i="1"/>
  <c r="N83" i="1"/>
  <c r="H83" i="1"/>
  <c r="G83" i="1"/>
  <c r="X82" i="1"/>
  <c r="X81" i="1"/>
  <c r="Y81" i="1" s="1"/>
  <c r="X80" i="1"/>
  <c r="Y80" i="1" s="1"/>
  <c r="X79" i="1"/>
  <c r="Y79" i="1" s="1"/>
  <c r="X78" i="1"/>
  <c r="Y78" i="1" s="1"/>
  <c r="X77" i="1"/>
  <c r="Y77" i="1" s="1"/>
  <c r="X76" i="1"/>
  <c r="Y76" i="1" s="1"/>
  <c r="X75" i="1"/>
  <c r="Y75" i="1" s="1"/>
  <c r="X74" i="1"/>
  <c r="Y74" i="1" s="1"/>
  <c r="O73" i="1"/>
  <c r="J73" i="1"/>
  <c r="H73" i="1"/>
  <c r="G73" i="1"/>
  <c r="L68" i="1"/>
  <c r="V65" i="1"/>
  <c r="V8" i="1" s="1"/>
  <c r="U65" i="1"/>
  <c r="U8" i="1" s="1"/>
  <c r="T65" i="1"/>
  <c r="T8" i="1" s="1"/>
  <c r="S65" i="1"/>
  <c r="R65" i="1"/>
  <c r="Q65" i="1"/>
  <c r="N65" i="1"/>
  <c r="H65" i="1"/>
  <c r="G65" i="1"/>
  <c r="X64" i="1"/>
  <c r="Y64" i="1" s="1"/>
  <c r="J64" i="1"/>
  <c r="X63" i="1"/>
  <c r="Y63" i="1" s="1"/>
  <c r="P63" i="1"/>
  <c r="P65" i="1" s="1"/>
  <c r="O63" i="1"/>
  <c r="X62" i="1"/>
  <c r="Y62" i="1" s="1"/>
  <c r="X61" i="1"/>
  <c r="Y61" i="1" s="1"/>
  <c r="X60" i="1"/>
  <c r="Y60" i="1" s="1"/>
  <c r="X59" i="1"/>
  <c r="Y59" i="1" s="1"/>
  <c r="X58" i="1"/>
  <c r="Y58" i="1" s="1"/>
  <c r="Y57" i="1"/>
  <c r="X57" i="1"/>
  <c r="X56" i="1"/>
  <c r="Y56" i="1" s="1"/>
  <c r="X55" i="1"/>
  <c r="Y55" i="1" s="1"/>
  <c r="X54" i="1"/>
  <c r="Y54" i="1" s="1"/>
  <c r="O54" i="1"/>
  <c r="S51" i="1"/>
  <c r="R51" i="1"/>
  <c r="Q51" i="1"/>
  <c r="P51" i="1"/>
  <c r="N51" i="1"/>
  <c r="H51" i="1"/>
  <c r="G51" i="1"/>
  <c r="X50" i="1"/>
  <c r="X49" i="1"/>
  <c r="Y49" i="1" s="1"/>
  <c r="X48" i="1"/>
  <c r="Y48" i="1" s="1"/>
  <c r="X47" i="1"/>
  <c r="Y47" i="1" s="1"/>
  <c r="O47" i="1"/>
  <c r="O51" i="1" s="1"/>
  <c r="J47" i="1"/>
  <c r="X46" i="1"/>
  <c r="Y46" i="1" s="1"/>
  <c r="X45" i="1"/>
  <c r="Y45" i="1" s="1"/>
  <c r="X44" i="1"/>
  <c r="Y44" i="1" s="1"/>
  <c r="V41" i="1"/>
  <c r="U41" i="1"/>
  <c r="T41" i="1"/>
  <c r="T5" i="1" s="1"/>
  <c r="T6" i="1" s="1"/>
  <c r="S41" i="1"/>
  <c r="S5" i="1" s="1"/>
  <c r="S6" i="1" s="1"/>
  <c r="R41" i="1"/>
  <c r="R5" i="1" s="1"/>
  <c r="R6" i="1" s="1"/>
  <c r="Q41" i="1"/>
  <c r="N41" i="1"/>
  <c r="N5" i="1" s="1"/>
  <c r="N6" i="1" s="1"/>
  <c r="H41" i="1"/>
  <c r="H5" i="1" s="1"/>
  <c r="G41" i="1"/>
  <c r="C41" i="1"/>
  <c r="C68" i="1" s="1"/>
  <c r="X40" i="1"/>
  <c r="Y40" i="1" s="1"/>
  <c r="X39" i="1"/>
  <c r="Y39" i="1" s="1"/>
  <c r="O39" i="1"/>
  <c r="X38" i="1"/>
  <c r="Y38" i="1" s="1"/>
  <c r="X37" i="1"/>
  <c r="Y37" i="1" s="1"/>
  <c r="X36" i="1"/>
  <c r="Y36" i="1" s="1"/>
  <c r="X35" i="1"/>
  <c r="Y35" i="1" s="1"/>
  <c r="X34" i="1"/>
  <c r="Y34" i="1" s="1"/>
  <c r="X33" i="1"/>
  <c r="Y33" i="1" s="1"/>
  <c r="P33" i="1"/>
  <c r="P41" i="1" s="1"/>
  <c r="O33" i="1"/>
  <c r="X32" i="1"/>
  <c r="Y32" i="1" s="1"/>
  <c r="X31" i="1"/>
  <c r="Y31" i="1" s="1"/>
  <c r="X30" i="1"/>
  <c r="X73" i="1" s="1"/>
  <c r="X110" i="1" s="1"/>
  <c r="X141" i="1" s="1"/>
  <c r="X168" i="1" s="1"/>
  <c r="V30" i="1"/>
  <c r="V73" i="1" s="1"/>
  <c r="V110" i="1" s="1"/>
  <c r="V141" i="1" s="1"/>
  <c r="V168" i="1" s="1"/>
  <c r="U30" i="1"/>
  <c r="U73" i="1" s="1"/>
  <c r="U110" i="1" s="1"/>
  <c r="U141" i="1" s="1"/>
  <c r="U168" i="1" s="1"/>
  <c r="T30" i="1"/>
  <c r="T73" i="1" s="1"/>
  <c r="T110" i="1" s="1"/>
  <c r="T141" i="1" s="1"/>
  <c r="T168" i="1" s="1"/>
  <c r="S30" i="1"/>
  <c r="S73" i="1" s="1"/>
  <c r="S110" i="1" s="1"/>
  <c r="S141" i="1" s="1"/>
  <c r="S168" i="1" s="1"/>
  <c r="R30" i="1"/>
  <c r="R73" i="1" s="1"/>
  <c r="R110" i="1" s="1"/>
  <c r="R141" i="1" s="1"/>
  <c r="R168" i="1" s="1"/>
  <c r="Q30" i="1"/>
  <c r="Q73" i="1" s="1"/>
  <c r="Q110" i="1" s="1"/>
  <c r="Q141" i="1" s="1"/>
  <c r="Q168" i="1" s="1"/>
  <c r="P30" i="1"/>
  <c r="P73" i="1" s="1"/>
  <c r="P110" i="1" s="1"/>
  <c r="P141" i="1" s="1"/>
  <c r="P168" i="1" s="1"/>
  <c r="O30" i="1"/>
  <c r="N30" i="1"/>
  <c r="N73" i="1" s="1"/>
  <c r="N110" i="1" s="1"/>
  <c r="N141" i="1" s="1"/>
  <c r="N168" i="1" s="1"/>
  <c r="H30" i="1"/>
  <c r="G30" i="1"/>
  <c r="R27" i="1"/>
  <c r="V23" i="1"/>
  <c r="U23" i="1"/>
  <c r="T23" i="1"/>
  <c r="S23" i="1"/>
  <c r="R23" i="1"/>
  <c r="Q23" i="1"/>
  <c r="H23" i="1"/>
  <c r="Y23" i="1" s="1"/>
  <c r="G23" i="1"/>
  <c r="X22" i="1"/>
  <c r="Y22" i="1" s="1"/>
  <c r="P22" i="1"/>
  <c r="O22" i="1"/>
  <c r="X21" i="1"/>
  <c r="Y21" i="1" s="1"/>
  <c r="P21" i="1"/>
  <c r="O21" i="1"/>
  <c r="N21" i="1"/>
  <c r="X20" i="1"/>
  <c r="Y20" i="1" s="1"/>
  <c r="P20" i="1"/>
  <c r="O20" i="1"/>
  <c r="N20" i="1"/>
  <c r="X19" i="1"/>
  <c r="V18" i="1"/>
  <c r="U18" i="1"/>
  <c r="T18" i="1"/>
  <c r="S18" i="1"/>
  <c r="R18" i="1"/>
  <c r="Q18" i="1"/>
  <c r="P18" i="1"/>
  <c r="O18" i="1"/>
  <c r="H18" i="1"/>
  <c r="Y18" i="1" s="1"/>
  <c r="G18" i="1"/>
  <c r="Y17" i="1"/>
  <c r="X17" i="1"/>
  <c r="N17" i="1"/>
  <c r="X16" i="1"/>
  <c r="Y16" i="1" s="1"/>
  <c r="N16" i="1"/>
  <c r="X15" i="1"/>
  <c r="Y15" i="1" s="1"/>
  <c r="X14" i="1"/>
  <c r="G13" i="1"/>
  <c r="X7" i="1"/>
  <c r="G6" i="1"/>
  <c r="O10" i="1" l="1"/>
  <c r="R163" i="1"/>
  <c r="V163" i="1"/>
  <c r="I5" i="1"/>
  <c r="G5" i="2"/>
  <c r="G6" i="2" s="1"/>
  <c r="M14" i="2"/>
  <c r="N13" i="2"/>
  <c r="H47" i="2"/>
  <c r="H51" i="2" s="1"/>
  <c r="K64" i="1"/>
  <c r="H64" i="2"/>
  <c r="H65" i="2" s="1"/>
  <c r="K157" i="1"/>
  <c r="H157" i="2"/>
  <c r="H160" i="2" s="1"/>
  <c r="H163" i="2" s="1"/>
  <c r="H68" i="2"/>
  <c r="T163" i="1"/>
  <c r="K172" i="1"/>
  <c r="Q11" i="1"/>
  <c r="T11" i="1"/>
  <c r="K133" i="1"/>
  <c r="K119" i="1"/>
  <c r="K154" i="1"/>
  <c r="J13" i="2"/>
  <c r="K13" i="2" s="1"/>
  <c r="E25" i="2"/>
  <c r="J51" i="1"/>
  <c r="K51" i="1" s="1"/>
  <c r="K47" i="1"/>
  <c r="I51" i="1"/>
  <c r="I119" i="1"/>
  <c r="I23" i="1"/>
  <c r="I103" i="1"/>
  <c r="I41" i="1"/>
  <c r="I83" i="1"/>
  <c r="Q136" i="1"/>
  <c r="S136" i="1"/>
  <c r="I133" i="1"/>
  <c r="T136" i="1"/>
  <c r="R11" i="1"/>
  <c r="X154" i="1"/>
  <c r="Y154" i="1" s="1"/>
  <c r="I154" i="1"/>
  <c r="R106" i="1"/>
  <c r="I160" i="1"/>
  <c r="I18" i="1"/>
  <c r="I172" i="1"/>
  <c r="X5" i="1"/>
  <c r="Y5" i="1" s="1"/>
  <c r="I65" i="1"/>
  <c r="H136" i="1"/>
  <c r="U136" i="1"/>
  <c r="U11" i="1"/>
  <c r="O136" i="1"/>
  <c r="P10" i="1"/>
  <c r="R9" i="1"/>
  <c r="Q106" i="1"/>
  <c r="S9" i="1"/>
  <c r="N8" i="1"/>
  <c r="X41" i="1"/>
  <c r="Y41" i="1" s="1"/>
  <c r="G106" i="1"/>
  <c r="U106" i="1"/>
  <c r="S10" i="1"/>
  <c r="Q8" i="1"/>
  <c r="S8" i="1"/>
  <c r="O12" i="1"/>
  <c r="V68" i="1"/>
  <c r="O9" i="1"/>
  <c r="V9" i="1"/>
  <c r="H11" i="1"/>
  <c r="Q10" i="1"/>
  <c r="T106" i="1"/>
  <c r="U9" i="1"/>
  <c r="H8" i="1"/>
  <c r="V106" i="1"/>
  <c r="N9" i="1"/>
  <c r="H6" i="1"/>
  <c r="X6" i="1" s="1"/>
  <c r="Y6" i="1" s="1"/>
  <c r="H12" i="1"/>
  <c r="S68" i="1"/>
  <c r="X83" i="1"/>
  <c r="Y83" i="1" s="1"/>
  <c r="G163" i="1"/>
  <c r="Q9" i="1"/>
  <c r="X103" i="1"/>
  <c r="Y103" i="1" s="1"/>
  <c r="X119" i="1"/>
  <c r="Y119" i="1" s="1"/>
  <c r="X133" i="1"/>
  <c r="Y133" i="1" s="1"/>
  <c r="N11" i="1"/>
  <c r="X172" i="1"/>
  <c r="Y172" i="1" s="1"/>
  <c r="O23" i="1"/>
  <c r="O11" i="1"/>
  <c r="H68" i="1"/>
  <c r="T9" i="1"/>
  <c r="V5" i="1"/>
  <c r="V6" i="1" s="1"/>
  <c r="T10" i="1"/>
  <c r="S12" i="1"/>
  <c r="P9" i="1"/>
  <c r="N10" i="1"/>
  <c r="R10" i="1"/>
  <c r="V10" i="1"/>
  <c r="L163" i="1"/>
  <c r="G175" i="1"/>
  <c r="K175" i="1" s="1"/>
  <c r="R12" i="1"/>
  <c r="P136" i="1"/>
  <c r="U10" i="1"/>
  <c r="S11" i="1"/>
  <c r="N12" i="1"/>
  <c r="V12" i="1"/>
  <c r="X18" i="1"/>
  <c r="X23" i="1"/>
  <c r="N68" i="1"/>
  <c r="T68" i="1"/>
  <c r="G68" i="1"/>
  <c r="R8" i="1"/>
  <c r="N106" i="1"/>
  <c r="H9" i="1"/>
  <c r="G136" i="1"/>
  <c r="P11" i="1"/>
  <c r="X160" i="1"/>
  <c r="Y160" i="1" s="1"/>
  <c r="O41" i="1"/>
  <c r="O5" i="1" s="1"/>
  <c r="O6" i="1" s="1"/>
  <c r="P8" i="1"/>
  <c r="O65" i="1"/>
  <c r="O8" i="1" s="1"/>
  <c r="J103" i="1"/>
  <c r="K103" i="1" s="1"/>
  <c r="J136" i="1"/>
  <c r="J41" i="1"/>
  <c r="K41" i="1" s="1"/>
  <c r="J65" i="1"/>
  <c r="K65" i="1" s="1"/>
  <c r="J160" i="1"/>
  <c r="P23" i="1"/>
  <c r="N22" i="1"/>
  <c r="N23" i="1" s="1"/>
  <c r="J83" i="1"/>
  <c r="K83" i="1" s="1"/>
  <c r="P106" i="1"/>
  <c r="P68" i="1"/>
  <c r="P5" i="1"/>
  <c r="P6" i="1" s="1"/>
  <c r="R68" i="1"/>
  <c r="U163" i="1"/>
  <c r="P175" i="1"/>
  <c r="P12" i="1"/>
  <c r="T175" i="1"/>
  <c r="T12" i="1"/>
  <c r="G25" i="1"/>
  <c r="K25" i="1" s="1"/>
  <c r="H10" i="1"/>
  <c r="N18" i="1"/>
  <c r="X51" i="1"/>
  <c r="Y51" i="1" s="1"/>
  <c r="X65" i="1"/>
  <c r="Y65" i="1" s="1"/>
  <c r="H106" i="1"/>
  <c r="O163" i="1"/>
  <c r="N163" i="1"/>
  <c r="Q175" i="1"/>
  <c r="Q12" i="1"/>
  <c r="U175" i="1"/>
  <c r="U12" i="1"/>
  <c r="S106" i="1"/>
  <c r="Q68" i="1"/>
  <c r="Q5" i="1"/>
  <c r="Q6" i="1" s="1"/>
  <c r="U68" i="1"/>
  <c r="U5" i="1"/>
  <c r="U6" i="1" s="1"/>
  <c r="O106" i="1"/>
  <c r="N136" i="1"/>
  <c r="R136" i="1"/>
  <c r="V136" i="1"/>
  <c r="P163" i="1"/>
  <c r="Q163" i="1"/>
  <c r="G9" i="2" l="1"/>
  <c r="G8" i="2"/>
  <c r="G12" i="2"/>
  <c r="G11" i="2"/>
  <c r="J25" i="2"/>
  <c r="K25" i="2" s="1"/>
  <c r="M25" i="2"/>
  <c r="G10" i="2"/>
  <c r="J14" i="2"/>
  <c r="I136" i="1"/>
  <c r="K136" i="1"/>
  <c r="J163" i="1"/>
  <c r="K163" i="1" s="1"/>
  <c r="K160" i="1"/>
  <c r="I68" i="1"/>
  <c r="I106" i="1"/>
  <c r="X136" i="1"/>
  <c r="Y136" i="1" s="1"/>
  <c r="X10" i="1"/>
  <c r="Y10" i="1" s="1"/>
  <c r="I10" i="1"/>
  <c r="X175" i="1"/>
  <c r="Y175" i="1" s="1"/>
  <c r="I175" i="1"/>
  <c r="X9" i="1"/>
  <c r="Y9" i="1" s="1"/>
  <c r="I9" i="1"/>
  <c r="X8" i="1"/>
  <c r="Y8" i="1" s="1"/>
  <c r="I8" i="1"/>
  <c r="X163" i="1"/>
  <c r="Y163" i="1" s="1"/>
  <c r="I163" i="1"/>
  <c r="X106" i="1"/>
  <c r="Y106" i="1" s="1"/>
  <c r="I6" i="1"/>
  <c r="X12" i="1"/>
  <c r="Y12" i="1" s="1"/>
  <c r="I12" i="1"/>
  <c r="X11" i="1"/>
  <c r="Y11" i="1" s="1"/>
  <c r="I11" i="1"/>
  <c r="S13" i="1"/>
  <c r="S25" i="1" s="1"/>
  <c r="O13" i="1"/>
  <c r="O25" i="1" s="1"/>
  <c r="N13" i="1"/>
  <c r="N25" i="1" s="1"/>
  <c r="Q13" i="1"/>
  <c r="Q25" i="1" s="1"/>
  <c r="U13" i="1"/>
  <c r="U25" i="1" s="1"/>
  <c r="V13" i="1"/>
  <c r="V25" i="1" s="1"/>
  <c r="P13" i="1"/>
  <c r="P25" i="1" s="1"/>
  <c r="O68" i="1"/>
  <c r="J106" i="1"/>
  <c r="K106" i="1" s="1"/>
  <c r="R13" i="1"/>
  <c r="R25" i="1" s="1"/>
  <c r="T13" i="1"/>
  <c r="T25" i="1" s="1"/>
  <c r="T27" i="1" s="1"/>
  <c r="X68" i="1"/>
  <c r="Y68" i="1" s="1"/>
  <c r="J68" i="1"/>
  <c r="K68" i="1" s="1"/>
  <c r="H13" i="1"/>
  <c r="I13" i="1" s="1"/>
  <c r="G13" i="2" l="1"/>
  <c r="G25" i="2" s="1"/>
  <c r="H25" i="1"/>
  <c r="X13" i="1"/>
  <c r="Y13" i="1" s="1"/>
  <c r="X25" i="1" l="1"/>
  <c r="Y25" i="1" s="1"/>
  <c r="I2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tc={721AD601-463F-4931-8F76-2EC80D4BA0C6}</author>
  </authors>
  <commentList>
    <comment ref="D19" authorId="0" shapeId="0" xr:uid="{721AD601-463F-4931-8F76-2EC80D4BA0C6}">
      <text>
        <t>[Threaded comment]
Your version of Excel allows you to read this threaded comment; however, any edits to it will get removed if the file is opened in a newer version of Excel. Learn more: https://go.microsoft.com/fwlink/?linkid=870924
Comment:
    No assessments in the first quarter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Tracy Mckenzie</author>
  </authors>
  <commentList>
    <comment ref="M2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Tracy Mckenzie:</t>
        </r>
        <r>
          <rPr>
            <sz val="9"/>
            <color indexed="81"/>
            <rFont val="Tahoma"/>
            <family val="2"/>
          </rPr>
          <t xml:space="preserve">
Credited back to Owners in March 2018</t>
        </r>
      </text>
    </comment>
    <comment ref="N2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Tracy Mckenzie:</t>
        </r>
        <r>
          <rPr>
            <sz val="9"/>
            <color indexed="81"/>
            <rFont val="Tahoma"/>
            <family val="2"/>
          </rPr>
          <t xml:space="preserve">
Moved to Major Reserve in 2017
</t>
        </r>
      </text>
    </comment>
  </commentList>
</comments>
</file>

<file path=xl/sharedStrings.xml><?xml version="1.0" encoding="utf-8"?>
<sst xmlns="http://schemas.openxmlformats.org/spreadsheetml/2006/main" count="1656" uniqueCount="712">
  <si>
    <t>SUMMARY</t>
  </si>
  <si>
    <t>BUDGET 2021</t>
  </si>
  <si>
    <t>ACTUAL 2020</t>
  </si>
  <si>
    <t>ACTUAL 2018</t>
  </si>
  <si>
    <t>ACTUAL 2017</t>
  </si>
  <si>
    <t>ACTUAL 2016</t>
  </si>
  <si>
    <t>ACTUAL 2015</t>
  </si>
  <si>
    <t>ACTUAL 2014</t>
  </si>
  <si>
    <t>ACTUAL 2013</t>
  </si>
  <si>
    <t>ACTUAL 2012</t>
  </si>
  <si>
    <t>ACTUAL 2011</t>
  </si>
  <si>
    <t>ACTUAL 2010</t>
  </si>
  <si>
    <t>ACTUAL 2009</t>
  </si>
  <si>
    <t>ACTUAL 2008</t>
  </si>
  <si>
    <t>Var Bud-21 Actual-20</t>
  </si>
  <si>
    <t>Revenues</t>
  </si>
  <si>
    <t>TOTAL REVENUES</t>
  </si>
  <si>
    <t>Admin &amp; General</t>
  </si>
  <si>
    <t>Maintenance</t>
  </si>
  <si>
    <t>Pool &amp; Beach</t>
  </si>
  <si>
    <t>Common Areas</t>
  </si>
  <si>
    <t>Utilities</t>
  </si>
  <si>
    <t>TOTAL EXPENSES</t>
  </si>
  <si>
    <t>Insurance Assessment</t>
  </si>
  <si>
    <t>Insurance Expenses</t>
  </si>
  <si>
    <t>Management Fee</t>
  </si>
  <si>
    <t>TOTAL INSURANCE</t>
  </si>
  <si>
    <t>Capex Reserve Assessment</t>
  </si>
  <si>
    <t>Major Reserve Assessment</t>
  </si>
  <si>
    <t>Reserve Fund</t>
  </si>
  <si>
    <t>TOTAL RESERVE FUND</t>
  </si>
  <si>
    <t>INCOME/ (LOSS)</t>
  </si>
  <si>
    <t>2015-2013 BALANCE MOVED TO RESERVE IN 2016</t>
  </si>
  <si>
    <t>Before maintenance</t>
  </si>
  <si>
    <t>Before PPC claim reimbursement</t>
  </si>
  <si>
    <t>ADMIN &amp; GENERAL</t>
  </si>
  <si>
    <t>allocations</t>
  </si>
  <si>
    <t>REVENUES</t>
  </si>
  <si>
    <t>Strata Fees</t>
  </si>
  <si>
    <t>Strata Garage Fees</t>
  </si>
  <si>
    <t>Watersport Contribution</t>
  </si>
  <si>
    <t>Maintenance Revenue</t>
  </si>
  <si>
    <t>Income from water</t>
  </si>
  <si>
    <t>Income from power</t>
  </si>
  <si>
    <t>Income from cable</t>
  </si>
  <si>
    <t>Income from pest control</t>
  </si>
  <si>
    <t>Other Income</t>
  </si>
  <si>
    <t>Interest Income</t>
  </si>
  <si>
    <t>PAYROLL EXPENSES</t>
  </si>
  <si>
    <t>Security Payroll</t>
  </si>
  <si>
    <t>Supplemental pay</t>
  </si>
  <si>
    <t>Employee meals</t>
  </si>
  <si>
    <t>Bonus provision</t>
  </si>
  <si>
    <t>Employee housing</t>
  </si>
  <si>
    <t>Payroll taxes</t>
  </si>
  <si>
    <t>TOTAL PAYROLL &amp; BENEFITS</t>
  </si>
  <si>
    <t>OTHER EXPENSES</t>
  </si>
  <si>
    <t>Bank Charges</t>
  </si>
  <si>
    <t>Work Permits</t>
  </si>
  <si>
    <t>Security Services &amp; supplies</t>
  </si>
  <si>
    <t>Surveillance systems</t>
  </si>
  <si>
    <t>Telephone</t>
  </si>
  <si>
    <t>D &amp; O Liability Insurance</t>
  </si>
  <si>
    <t>Gym</t>
  </si>
  <si>
    <t>Other expenses</t>
  </si>
  <si>
    <t>Strata Lot Management Fees</t>
  </si>
  <si>
    <t>Travelling expenses</t>
  </si>
  <si>
    <t>TOTAL OTHER EXPENSES</t>
  </si>
  <si>
    <t>DEPARTMENTAL INCOME</t>
  </si>
  <si>
    <t>Dpt. Income (Profit)/Loss</t>
  </si>
  <si>
    <t>MAINTENANCE</t>
  </si>
  <si>
    <t>Grounds</t>
  </si>
  <si>
    <t>Sewage treatment plant</t>
  </si>
  <si>
    <t>Employee Meals</t>
  </si>
  <si>
    <t>Automobile</t>
  </si>
  <si>
    <t>A/C related</t>
  </si>
  <si>
    <t>Maintenance supplies</t>
  </si>
  <si>
    <t>Building maintenance</t>
  </si>
  <si>
    <t>Office supplies</t>
  </si>
  <si>
    <t>Uniforms</t>
  </si>
  <si>
    <t>Painting &amp; decoration</t>
  </si>
  <si>
    <t>Electrical &amp; bulbs</t>
  </si>
  <si>
    <t>Locks &amp; Keys</t>
  </si>
  <si>
    <t>Hurricane</t>
  </si>
  <si>
    <t>Elevator</t>
  </si>
  <si>
    <t>Garbage removal</t>
  </si>
  <si>
    <t>Fire protection</t>
  </si>
  <si>
    <t>Grounds &amp; Landscaping</t>
  </si>
  <si>
    <t>Sewage treatment</t>
  </si>
  <si>
    <t>POOL &amp; BEACH</t>
  </si>
  <si>
    <t>Allocation Management Co.</t>
  </si>
  <si>
    <t>Pool &amp; beach supplies</t>
  </si>
  <si>
    <t>Watersport supplies</t>
  </si>
  <si>
    <t>Laundry</t>
  </si>
  <si>
    <t>Miscellaneous</t>
  </si>
  <si>
    <t>Swimming pool chemicals</t>
  </si>
  <si>
    <t>Swimming pool repairs</t>
  </si>
  <si>
    <t>Watersport repairs</t>
  </si>
  <si>
    <t>COMMON AREA</t>
  </si>
  <si>
    <t>Common area</t>
  </si>
  <si>
    <t>Total Payroll Expenses</t>
  </si>
  <si>
    <t>Total Benefits</t>
  </si>
  <si>
    <t>Payroll &amp; Benefits</t>
  </si>
  <si>
    <t>Cleaning supplies</t>
  </si>
  <si>
    <t>Purchase allocation</t>
  </si>
  <si>
    <t>ENERGY</t>
  </si>
  <si>
    <t>Electricity</t>
  </si>
  <si>
    <t>Water</t>
  </si>
  <si>
    <t>Gas</t>
  </si>
  <si>
    <t>ACTUAL 2019</t>
  </si>
  <si>
    <t>Pool &amp; beach umbrella. &amp; furn</t>
  </si>
  <si>
    <t>B 2021 vs 2020</t>
  </si>
  <si>
    <t>B 2021 vs A2019</t>
  </si>
  <si>
    <t>PROPRIETORS STRATA PLAN # 50</t>
  </si>
  <si>
    <t>PROJECT #</t>
  </si>
  <si>
    <t>CAPITAL RESERVE FUND</t>
  </si>
  <si>
    <t>Budget</t>
  </si>
  <si>
    <t xml:space="preserve">Actual </t>
  </si>
  <si>
    <t>Forecast</t>
  </si>
  <si>
    <t xml:space="preserve">Variance   </t>
  </si>
  <si>
    <t>remainder</t>
  </si>
  <si>
    <t>Total year</t>
  </si>
  <si>
    <t>to Budget</t>
  </si>
  <si>
    <t>Comments</t>
  </si>
  <si>
    <t>Actual</t>
  </si>
  <si>
    <t>PROJECT</t>
  </si>
  <si>
    <t>MAJOR RESERVE FUND</t>
  </si>
  <si>
    <t>YEAR 2012</t>
  </si>
  <si>
    <t>RESERVE FUNDS</t>
  </si>
  <si>
    <t>CAPITAL</t>
  </si>
  <si>
    <t>MAJOR</t>
  </si>
  <si>
    <t>TOTAL</t>
  </si>
  <si>
    <t>OPENING BALANCE 2012:</t>
  </si>
  <si>
    <t>February</t>
  </si>
  <si>
    <t>March</t>
  </si>
  <si>
    <t>April</t>
  </si>
  <si>
    <t>May</t>
  </si>
  <si>
    <t>June</t>
  </si>
  <si>
    <t>July</t>
  </si>
  <si>
    <t>PROPRIETORS STRATA PLAN # 50 - BUDGET 2022</t>
  </si>
  <si>
    <t>BUDGET 2022</t>
  </si>
  <si>
    <t>B 2022 vs A/B 2021</t>
  </si>
  <si>
    <t>%</t>
  </si>
  <si>
    <t>ACT 2021</t>
  </si>
  <si>
    <t>ACTUAL 2021</t>
  </si>
  <si>
    <t>B 2022 vs Act 2021</t>
  </si>
  <si>
    <t>Act 2021 vs Bud 2021</t>
  </si>
  <si>
    <t>SAP</t>
  </si>
  <si>
    <t xml:space="preserve">SAP </t>
  </si>
  <si>
    <t>ACCPAC</t>
  </si>
  <si>
    <t>Ending Balance</t>
  </si>
  <si>
    <t>Net Activity 10/00</t>
  </si>
  <si>
    <t xml:space="preserve">Ending Balance </t>
  </si>
  <si>
    <t>DR</t>
  </si>
  <si>
    <t>CR</t>
  </si>
  <si>
    <t xml:space="preserve">Account </t>
  </si>
  <si>
    <t>Description</t>
  </si>
  <si>
    <t>=========</t>
  </si>
  <si>
    <t>==================================</t>
  </si>
  <si>
    <t>=================</t>
  </si>
  <si>
    <t>===================</t>
  </si>
  <si>
    <t>====================</t>
  </si>
  <si>
    <t>=============</t>
  </si>
  <si>
    <t>CASH</t>
  </si>
  <si>
    <t>101030-01</t>
  </si>
  <si>
    <t>OPERATING ACCOUNT</t>
  </si>
  <si>
    <t>101036-01</t>
  </si>
  <si>
    <t>DEPOSIT ACCOUNT (1 YEAR)</t>
  </si>
  <si>
    <t>101037-01</t>
  </si>
  <si>
    <t>DEPOSIT ACCOUNT (30 DAYS)</t>
  </si>
  <si>
    <t>OTHER RECEIVABLES</t>
  </si>
  <si>
    <t>111050-01</t>
  </si>
  <si>
    <t>RECEIVABLE SOMERSET (WWTP)</t>
  </si>
  <si>
    <t>111052-01</t>
  </si>
  <si>
    <t>111070-01</t>
  </si>
  <si>
    <t>INTERCOMPANY MANAGEMENT CO</t>
  </si>
  <si>
    <t xml:space="preserve"> </t>
  </si>
  <si>
    <t>INVENTORIES</t>
  </si>
  <si>
    <t>123058-01</t>
  </si>
  <si>
    <t>ENGINEERING INVENTORY</t>
  </si>
  <si>
    <t>124010-01</t>
  </si>
  <si>
    <t>HURRICANE INVENTORY</t>
  </si>
  <si>
    <t>PREPAIDS</t>
  </si>
  <si>
    <t>130001-01</t>
  </si>
  <si>
    <t>PREPAID INSURANCE</t>
  </si>
  <si>
    <t>130009-01</t>
  </si>
  <si>
    <t>PREPAID OTHERS</t>
  </si>
  <si>
    <t>DEPOSITS</t>
  </si>
  <si>
    <t>131001-01</t>
  </si>
  <si>
    <t>DEPOSITS VENDORS</t>
  </si>
  <si>
    <t>OTHER ASSETS</t>
  </si>
  <si>
    <t>259010-01</t>
  </si>
  <si>
    <t>ACCRUED OTHER EXPENSES</t>
  </si>
  <si>
    <t>TOTAL ASSETS</t>
  </si>
  <si>
    <t>TRADE PAYABLES</t>
  </si>
  <si>
    <t>ACCRUED EXPENSES</t>
  </si>
  <si>
    <t>252001-01</t>
  </si>
  <si>
    <t>ACCRUED SALARIES/WAGES</t>
  </si>
  <si>
    <t>ACCRUED OTHERS</t>
  </si>
  <si>
    <t>DEPOSITS/DEFERRED INCOME</t>
  </si>
  <si>
    <t>OWNERS EQUITY</t>
  </si>
  <si>
    <t>180053-01</t>
  </si>
  <si>
    <t>RESERVE FUND WWTP</t>
  </si>
  <si>
    <t>276004-01</t>
  </si>
  <si>
    <t>RESERVE FUNDS (CAPITAL + MAJOR)</t>
  </si>
  <si>
    <t>286001-01</t>
  </si>
  <si>
    <t>RETAINED EARNINGS PRIOR YEARS</t>
  </si>
  <si>
    <t>CURRENT EARNINGS</t>
  </si>
  <si>
    <t>TOTAL LIABILITIES &amp; OWNERS EQUITY</t>
  </si>
  <si>
    <t>CONTROL</t>
  </si>
  <si>
    <t>THE PALMS - STRATA</t>
  </si>
  <si>
    <t>Premium summary:</t>
  </si>
  <si>
    <t>Public Liability</t>
  </si>
  <si>
    <t>Terrorism</t>
  </si>
  <si>
    <t xml:space="preserve">TOTAL </t>
  </si>
  <si>
    <t>increase</t>
  </si>
  <si>
    <t>PERGOLA PROJECT - CLEARING ACCOUNT</t>
  </si>
  <si>
    <t>Proprietors of Strata Plan #50</t>
  </si>
  <si>
    <t>Reserve Funds (equity)</t>
  </si>
  <si>
    <t>Reserve Funds (term deposits funded)</t>
  </si>
  <si>
    <t>Balance to be funded before adjustements (A)</t>
  </si>
  <si>
    <t>Inventories advanced by Management Co.</t>
  </si>
  <si>
    <t>Retained earnings held by Management Co.</t>
  </si>
  <si>
    <t>Current earnings advanced by Management Co.</t>
  </si>
  <si>
    <t>Total cash adjustments (B)</t>
  </si>
  <si>
    <t>Term deposit to be funded (A+B)</t>
  </si>
  <si>
    <t>rounded =)</t>
  </si>
  <si>
    <t>**</t>
  </si>
  <si>
    <t xml:space="preserve">Pool Lights </t>
  </si>
  <si>
    <t xml:space="preserve">Variance Balance </t>
  </si>
  <si>
    <t>OWNER RECEIVABLES</t>
  </si>
  <si>
    <t>ACTUAL 2022</t>
  </si>
  <si>
    <t>FUEL FACTOR  FORTIS - TURKS &amp; CAICOS ISLANDS</t>
  </si>
  <si>
    <t>Date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</si>
  <si>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</si>
  <si>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</si>
  <si>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</si>
  <si>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</si>
  <si>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</si>
  <si>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</si>
  <si>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</si>
  <si>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</si>
  <si>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</si>
  <si>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</si>
  <si>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</si>
  <si>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</si>
  <si>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AVG</t>
  </si>
  <si>
    <t>Jan-08</t>
  </si>
  <si>
    <t>Feb-08</t>
  </si>
  <si>
    <t>Mar-08</t>
  </si>
  <si>
    <t>Apr-08</t>
  </si>
  <si>
    <t>May-08</t>
  </si>
  <si>
    <t>Jun-08</t>
  </si>
  <si>
    <t>Jul-08</t>
  </si>
  <si>
    <t>Aug-08</t>
  </si>
  <si>
    <t>Sep-08</t>
  </si>
  <si>
    <t>Oct-08</t>
  </si>
  <si>
    <t>Nov-08</t>
  </si>
  <si>
    <t>Dec-08</t>
  </si>
  <si>
    <t>Jan-09</t>
  </si>
  <si>
    <t>Feb-09</t>
  </si>
  <si>
    <t>Mar-09</t>
  </si>
  <si>
    <t>Apr-09</t>
  </si>
  <si>
    <t>May-09</t>
  </si>
  <si>
    <t>Jun-09</t>
  </si>
  <si>
    <t>Jul-09</t>
  </si>
  <si>
    <t>Aug-09</t>
  </si>
  <si>
    <t>Sep-09</t>
  </si>
  <si>
    <t>Oct-09</t>
  </si>
  <si>
    <t>Nov-09</t>
  </si>
  <si>
    <t>Dec-09</t>
  </si>
  <si>
    <t>Jan-10</t>
  </si>
  <si>
    <t>Feb-10</t>
  </si>
  <si>
    <t>Mar-10</t>
  </si>
  <si>
    <t>Apr-10</t>
  </si>
  <si>
    <t>May-10</t>
  </si>
  <si>
    <t>Jun-10</t>
  </si>
  <si>
    <t>Jul-10</t>
  </si>
  <si>
    <t>Aug-10</t>
  </si>
  <si>
    <t>Sep-10</t>
  </si>
  <si>
    <t>Oct-10</t>
  </si>
  <si>
    <t>Nov-10</t>
  </si>
  <si>
    <t>Dec-10</t>
  </si>
  <si>
    <t>Jan-11</t>
  </si>
  <si>
    <t>Feb-11</t>
  </si>
  <si>
    <t>Mar-11</t>
  </si>
  <si>
    <t>Apr-11</t>
  </si>
  <si>
    <t>May-11</t>
  </si>
  <si>
    <t>Jun-11</t>
  </si>
  <si>
    <t>Jul-11</t>
  </si>
  <si>
    <t>Aug-11</t>
  </si>
  <si>
    <t>Sep-11</t>
  </si>
  <si>
    <t>Oct-11</t>
  </si>
  <si>
    <t>Nov-11</t>
  </si>
  <si>
    <t>Dec-11</t>
  </si>
  <si>
    <t>Jan-12</t>
  </si>
  <si>
    <t>Feb-12</t>
  </si>
  <si>
    <t>Mar-12</t>
  </si>
  <si>
    <t>Apr-12</t>
  </si>
  <si>
    <t>May-12</t>
  </si>
  <si>
    <t>Jun-12</t>
  </si>
  <si>
    <t>Jul-12</t>
  </si>
  <si>
    <t>Aug-12</t>
  </si>
  <si>
    <t>Sep-12</t>
  </si>
  <si>
    <t>Oct-12</t>
  </si>
  <si>
    <t>Nov-12</t>
  </si>
  <si>
    <t>Dec-12</t>
  </si>
  <si>
    <t>Jan-13</t>
  </si>
  <si>
    <t>Feb-13</t>
  </si>
  <si>
    <t>Mar-13</t>
  </si>
  <si>
    <t>Apr-13</t>
  </si>
  <si>
    <t>May-13</t>
  </si>
  <si>
    <t>Jun-13</t>
  </si>
  <si>
    <t>Jul-13</t>
  </si>
  <si>
    <t>Aug-13</t>
  </si>
  <si>
    <t>Sep-13</t>
  </si>
  <si>
    <t>Oct-13</t>
  </si>
  <si>
    <t>Nov-13</t>
  </si>
  <si>
    <t>Dec-13</t>
  </si>
  <si>
    <t>Jaqn-14</t>
  </si>
  <si>
    <t>Feb-14</t>
  </si>
  <si>
    <t>Mar-14</t>
  </si>
  <si>
    <t>Apr-14</t>
  </si>
  <si>
    <t>May-14</t>
  </si>
  <si>
    <t>Jun-14</t>
  </si>
  <si>
    <t>Jul-14</t>
  </si>
  <si>
    <t>Aug-14</t>
  </si>
  <si>
    <t>Sep-14</t>
  </si>
  <si>
    <t>Oct-14</t>
  </si>
  <si>
    <t>Nov-14</t>
  </si>
  <si>
    <t>Dec-14</t>
  </si>
  <si>
    <t>Jan-15</t>
  </si>
  <si>
    <t>Feb-15</t>
  </si>
  <si>
    <t>Mar-15</t>
  </si>
  <si>
    <t>Apr-15</t>
  </si>
  <si>
    <t>May-15</t>
  </si>
  <si>
    <t>Jun-15</t>
  </si>
  <si>
    <t>Jul-15</t>
  </si>
  <si>
    <t>Aug-15</t>
  </si>
  <si>
    <t>Sep-15</t>
  </si>
  <si>
    <t>Oct-15</t>
  </si>
  <si>
    <t>Nov-15</t>
  </si>
  <si>
    <t>Dec-15</t>
  </si>
  <si>
    <t>Jan-16</t>
  </si>
  <si>
    <t>Feb-16</t>
  </si>
  <si>
    <t>Mar-16</t>
  </si>
  <si>
    <t>Apr-16</t>
  </si>
  <si>
    <t>May-16</t>
  </si>
  <si>
    <t>Jun-16</t>
  </si>
  <si>
    <t>Jul-16</t>
  </si>
  <si>
    <t>Aug-16</t>
  </si>
  <si>
    <t>Sep-16</t>
  </si>
  <si>
    <t>Oct-16</t>
  </si>
  <si>
    <t>Nov-16</t>
  </si>
  <si>
    <t>Dec-16</t>
  </si>
  <si>
    <t>year over year variances</t>
  </si>
  <si>
    <t>2018 vs 2008</t>
  </si>
  <si>
    <t>2018 vs 2009</t>
  </si>
  <si>
    <t>2018 vs 2010</t>
  </si>
  <si>
    <t>2018 vs 2011</t>
  </si>
  <si>
    <t>2018 vs 2012</t>
  </si>
  <si>
    <t>2018 vs 2013</t>
  </si>
  <si>
    <t>2018 vs 2014</t>
  </si>
  <si>
    <t>2018 vs 2015</t>
  </si>
  <si>
    <t>2018 vs 2017</t>
  </si>
  <si>
    <t>2019 vs 2018</t>
  </si>
  <si>
    <t>2020 vs 2019</t>
  </si>
  <si>
    <t>2021 vs 2020</t>
  </si>
  <si>
    <t>2022 vs 2021</t>
  </si>
  <si>
    <t>2023 vs 2022</t>
  </si>
  <si>
    <t>Historical fuel factor</t>
  </si>
  <si>
    <t>ACTUAL 2023</t>
  </si>
  <si>
    <t>2024 vs 2023</t>
  </si>
  <si>
    <t>111051-01</t>
  </si>
  <si>
    <t>Paid by ER</t>
  </si>
  <si>
    <t>111053-01</t>
  </si>
  <si>
    <t>GILLEN HALL DESIGN PROJECT - CLEARING ACCOUNT</t>
  </si>
  <si>
    <t xml:space="preserve">Variance to    </t>
  </si>
  <si>
    <t>BUDGET 2024</t>
  </si>
  <si>
    <t>24C-01</t>
  </si>
  <si>
    <t>Landscaping Equipment/ Plants/Fertilizers/ Oceanfront Palm Trees</t>
  </si>
  <si>
    <t>24C-02</t>
  </si>
  <si>
    <t>Landscaping and Pathway Lighting</t>
  </si>
  <si>
    <t>24C-03</t>
  </si>
  <si>
    <t>Parking lot Curbs / Repair - Repainting &amp; Sidewalk Treatment</t>
  </si>
  <si>
    <t>24C-04</t>
  </si>
  <si>
    <t>Pathway Signs</t>
  </si>
  <si>
    <t>24C-05</t>
  </si>
  <si>
    <t>Exterior Building Cleaning (done with Window cleaning below)</t>
  </si>
  <si>
    <t>24C-06</t>
  </si>
  <si>
    <t>Suite Exterior Window Cleaning during closure - Scafolding</t>
  </si>
  <si>
    <t>24C-07</t>
  </si>
  <si>
    <t>Gym Equipment - Cross Trainer / Elliptical / Flooring Repairs</t>
  </si>
  <si>
    <t>24C-08</t>
  </si>
  <si>
    <t>Beach Furniture - 15 umbrellas, 10 Chaises, Clamshell Repairs/Refurbishment, Chaise and Chair Sling Replacements</t>
  </si>
  <si>
    <t>24C-09</t>
  </si>
  <si>
    <t>Beach Rescue Boat Trailer - to remove to the beach in rough seas</t>
  </si>
  <si>
    <t>24C-10</t>
  </si>
  <si>
    <t>Watersports Equipment- Single and Double Kayak, 3 Paddle Boards, Hobie Sail</t>
  </si>
  <si>
    <t>24C-11</t>
  </si>
  <si>
    <t xml:space="preserve">New Ice machine </t>
  </si>
  <si>
    <t>24C-12</t>
  </si>
  <si>
    <t xml:space="preserve">Pool Furniture- 5 Umbrellas and Bases, 10 Side Tables, Cushion Repairs and Repalcements, Chaise refubishments </t>
  </si>
  <si>
    <t>24C-13</t>
  </si>
  <si>
    <t>24C-14</t>
  </si>
  <si>
    <t>Pool Heater</t>
  </si>
  <si>
    <t>24C-15</t>
  </si>
  <si>
    <t>Jacuzzi &amp; Pool Pump</t>
  </si>
  <si>
    <t>24C-16</t>
  </si>
  <si>
    <t>Irrigation Pump</t>
  </si>
  <si>
    <t>24C-17</t>
  </si>
  <si>
    <t>Dumpster Concrete Slab Repour</t>
  </si>
  <si>
    <t>24C-18</t>
  </si>
  <si>
    <t>Updated BCQS Report</t>
  </si>
  <si>
    <t>24C-19</t>
  </si>
  <si>
    <t>CCTV System Upgrade</t>
  </si>
  <si>
    <t>24C-20</t>
  </si>
  <si>
    <t>24M-01</t>
  </si>
  <si>
    <t>Flat Roofing Resealing of Membrane During Closure (8) - (originally multi-year project &amp; done 10 years ago)</t>
  </si>
  <si>
    <t>24M-02</t>
  </si>
  <si>
    <t>Pool Resurfacing Diamondbrite</t>
  </si>
  <si>
    <t>24M-03</t>
  </si>
  <si>
    <t xml:space="preserve">Stairwell Painting (8) after Refurbishment </t>
  </si>
  <si>
    <t>24M-04</t>
  </si>
  <si>
    <t>Firepump Balance</t>
  </si>
  <si>
    <t>24M-05</t>
  </si>
  <si>
    <r>
      <t xml:space="preserve">Main Aluminum Gate (T-Bore Refusal to welded anymore) - or </t>
    </r>
    <r>
      <rPr>
        <sz val="9"/>
        <color indexed="30"/>
        <rFont val="Tahoma"/>
        <family val="2"/>
      </rPr>
      <t>one other contractor will reinforce for 2024 ($5,000)</t>
    </r>
  </si>
  <si>
    <t>24M-06</t>
  </si>
  <si>
    <t>Balance of New Hilux Truck</t>
  </si>
  <si>
    <t>24M-07</t>
  </si>
  <si>
    <t>Water Instrusions</t>
  </si>
  <si>
    <t>RESERVE FUNDS  2024</t>
  </si>
  <si>
    <t>OPENING BALANCE 2024:</t>
  </si>
  <si>
    <t>ACTUAL 2024 - Q1</t>
  </si>
  <si>
    <t>CAPITAL EXPENDITURES  - 2024 BUDGET</t>
  </si>
  <si>
    <t>TOTAL 2024 CAPITAL RESERVE FUND</t>
  </si>
  <si>
    <t>MAJOR EXPENDITURES  - 2024</t>
  </si>
  <si>
    <t>TOTAL 2024 MAJOR RESERVE FUND</t>
  </si>
  <si>
    <t>2024 Reserves Page 2 of 3</t>
  </si>
  <si>
    <t>Owner Project advanced by Management Co.</t>
  </si>
  <si>
    <t>Variance analysis actual to budget</t>
  </si>
  <si>
    <t>Positive</t>
  </si>
  <si>
    <t xml:space="preserve">Negative </t>
  </si>
  <si>
    <t>variances</t>
  </si>
  <si>
    <t>INCOME</t>
  </si>
  <si>
    <t>to budget</t>
  </si>
  <si>
    <t>Maintenance Revenues</t>
  </si>
  <si>
    <t>Income from utilities</t>
  </si>
  <si>
    <t>Others</t>
  </si>
  <si>
    <t>Total Income</t>
  </si>
  <si>
    <t>EXPENSES</t>
  </si>
  <si>
    <t>Security payroll (internal &amp; external)</t>
  </si>
  <si>
    <t>Pool &amp; Beach supplies &amp; furniture</t>
  </si>
  <si>
    <t>Maintenance &amp; Ground payroll</t>
  </si>
  <si>
    <t>Work permits</t>
  </si>
  <si>
    <t>Pool repairs</t>
  </si>
  <si>
    <t>Other expenses A&amp;G</t>
  </si>
  <si>
    <t>Power</t>
  </si>
  <si>
    <t>Pool &amp; Beach payroll</t>
  </si>
  <si>
    <t>Total Expenses</t>
  </si>
  <si>
    <t>Total variance</t>
  </si>
  <si>
    <t>Strata Plans # 50 Income statement YTD 2024</t>
  </si>
  <si>
    <t>Maintenance &amp; Landscaping benefits</t>
  </si>
  <si>
    <t>Maintenance supplies &amp; expenses</t>
  </si>
  <si>
    <t>Pool chemicals</t>
  </si>
  <si>
    <t xml:space="preserve">Property Insurance </t>
  </si>
  <si>
    <t>Strata Business Interruption</t>
  </si>
  <si>
    <t>ACTUAL 2024</t>
  </si>
  <si>
    <t>PROPRIETORS STRATA PLAN # 50 - ACTUAL 2024</t>
  </si>
  <si>
    <t>Act 2024 vs Bud 2024</t>
  </si>
  <si>
    <t>Balance sheet as of December 31, 2024</t>
  </si>
  <si>
    <t>Inntercompany between Mgmt co</t>
  </si>
  <si>
    <t>Last set of Monogram fridges being charge out</t>
  </si>
  <si>
    <t>Last month of prepaid items being draw down monthly</t>
  </si>
  <si>
    <t>Movement in reserve funds usage in December 2024</t>
  </si>
  <si>
    <t>December YTD 2024</t>
  </si>
  <si>
    <t>Landscaping plants</t>
  </si>
  <si>
    <t>Pathway lighting various purchases</t>
  </si>
  <si>
    <t>323041--ultra spec satin exterior- capex parking lot curb pa 24C-03</t>
  </si>
  <si>
    <t>NEW TECH CONSTRUCTION 1113029--- Repairing the Sign 32 - 24C-04</t>
  </si>
  <si>
    <t>110124--WINDOW CLEANING AND EXT MOLD&amp;MILDEW R FROM BLDG1-5 &amp; -24C-06</t>
  </si>
  <si>
    <t>Caribbean Purchasing - Treadmill - Gym - 24C-07 &amp; Air and sea charges</t>
  </si>
  <si>
    <t xml:space="preserve">Sole, Inc - Canopy Shade for Umbrella - Pool &amp; Beach </t>
  </si>
  <si>
    <t>JASON DELANCYINV0001-A--Water trailer repair-</t>
  </si>
  <si>
    <t>UNI-SOURCE SUPPLY INTERNATIONAL INC 0106146--Indigo NXT Ice Maker- Capex 24C-11-</t>
  </si>
  <si>
    <t xml:space="preserve">Tropitone Furniture Co. - Sling set Chaise Lounge (Pool &amp; Be - 24C-12 </t>
  </si>
  <si>
    <t>CARLISLE SUPPLIES LIMITED3155901--Intellibrite Spa Pool Light- (POOL LIGHTS)</t>
  </si>
  <si>
    <t>Howard Industries -41745--pool heater- 24C-14</t>
  </si>
  <si>
    <t>HOWARD INDUSTRIES - Pentair EQ Series Commercial Pump 15 HP 208-230/460V 39-36/16 Amp 24C-15</t>
  </si>
  <si>
    <t>UNI-SOURCE SUPPLY INTERNATIONAL INC 0105861--pump, goulds, odp motor etc-Capex 24c-16-</t>
  </si>
  <si>
    <t>909796--dig foundation mesh,install wire and concrete-capex- 24C-17</t>
  </si>
  <si>
    <t>BCQS International #FEE 19708 -24c-18</t>
  </si>
  <si>
    <t>CCTV system upgrade</t>
  </si>
  <si>
    <t>Credit from PAUL DUESING Inv#5557, 5599, 5583 &amp; 5603 ( 2022 &amp; 2023 ) - Miscoded - General Coral Rendering to rooms &amp; Balcony for September 2024 - November 2024 24c-20</t>
  </si>
  <si>
    <t>TCI Paint purchases for roofing project</t>
  </si>
  <si>
    <t>FELIUS CHARLES 085951--Pre-Payment for the labor of Swimming Pool- 24M-02, KB HOME various pool equipments, Various purchases for Diamond brite</t>
  </si>
  <si>
    <t>TCI Paint &amp;Supply 320569--Wel-cote 45min Mud,gloveworks,ultra spec-Capex 24M-03</t>
  </si>
  <si>
    <t>Main guest gate repairs &amp; Manual lift Barrier</t>
  </si>
  <si>
    <t xml:space="preserve">TCI PAINT320745--Sika Con Sealant limestone Capex 24m-07 </t>
  </si>
  <si>
    <t>ISLAND FIRE SUPPLIES LTD 8454--fire alarm renovation- -</t>
  </si>
  <si>
    <t>STORM SAFE ROOFING LTD SSR002--room reno wndw repair bldg 1-</t>
  </si>
  <si>
    <t>STORM SAFE ROOFING LTD SSR001--WIRING UP OF ANNUNCIATOR PANE</t>
  </si>
  <si>
    <t>STORM SAFE ROOFING LTD SSR001--SUPPLY AND INSTALL WALL TILIN</t>
  </si>
  <si>
    <t>STORM SAFE ROOFING LTD SSR001--POOL LIGHTING NAD TIMERS-</t>
  </si>
  <si>
    <t>STORM SAFE ROOFING LTD SSR001--SUPPLY AND INSTALL OF 1 EXIST</t>
  </si>
  <si>
    <t>STORM SAFE ROOFING LTD SSR001--PRESSURE WASHING OF STACKS-</t>
  </si>
  <si>
    <t>STORM SAFE ROOFING LTD SSR001--FORMING OF BENCH IN POOL SWIM</t>
  </si>
  <si>
    <t>Remove forecast remainder for 24M-05</t>
  </si>
  <si>
    <t>FUNDINGS AS OF JAN 24 - DEC 24</t>
  </si>
  <si>
    <t>EXPENDITURES JAN 24 - DEC 24</t>
  </si>
  <si>
    <t>ENDING BALANCE DECEMBER 2024</t>
  </si>
  <si>
    <t>PROPRIETORS STRATA PLAN # 50 - Q1 January to March 2025</t>
  </si>
  <si>
    <t>ACTUAL 2025 - Q1</t>
  </si>
  <si>
    <t>BUDGET 2025 - Q1</t>
  </si>
  <si>
    <t>Balance sheet as of March 31, 2025</t>
  </si>
  <si>
    <t>CAPITAL EXPENDITURES  - 2025 BUDGET</t>
  </si>
  <si>
    <t>25C-01</t>
  </si>
  <si>
    <t>Landscaping Equipment / Plants / Fertilizers</t>
  </si>
  <si>
    <t>23599-3--25C-01 Landscape Capex - sticker pint, bifenthrin, - 25C-01</t>
  </si>
  <si>
    <t>25C-02</t>
  </si>
  <si>
    <t>BUILDING MATERIALS LTD 637117--charge to 25C-02 landscape capex - outdoor bleach, m</t>
  </si>
  <si>
    <t>25C-03</t>
  </si>
  <si>
    <t>Irrigation/Cistern Motor (Gray Water - WWTP)</t>
  </si>
  <si>
    <t>25C-04</t>
  </si>
  <si>
    <t>Cistern Cleaning and Repair</t>
  </si>
  <si>
    <t>25C-05</t>
  </si>
  <si>
    <t>Cistern Pump Motor (B3 - Booster Pump Room)</t>
  </si>
  <si>
    <t>25C-06</t>
  </si>
  <si>
    <t>Booster Pump Motor &amp; Booster Pump Invereter</t>
  </si>
  <si>
    <t>25C-07</t>
  </si>
  <si>
    <t>Buildings Gutter Repair &amp; Cleaning (A&amp;K)</t>
  </si>
  <si>
    <t>25C-08</t>
  </si>
  <si>
    <t xml:space="preserve">Buildings Exterior Cleaning </t>
  </si>
  <si>
    <t>25C-09</t>
  </si>
  <si>
    <t>Building Exterior Painting - Trellis, Patios</t>
  </si>
  <si>
    <t>25C-10</t>
  </si>
  <si>
    <t>Installation of Roof Ventilation Fans</t>
  </si>
  <si>
    <t>CARIBBEAN CONSTRUCTION 095328--capex 24m-01 roofing - building 3 roof maintenance- 24M-01</t>
  </si>
  <si>
    <t>25C-11</t>
  </si>
  <si>
    <t>25C-12</t>
  </si>
  <si>
    <t xml:space="preserve">Gym Equipment - 2 New Cardio machines </t>
  </si>
  <si>
    <t>25C-13</t>
  </si>
  <si>
    <t>Beach Furniture - General Refurbishment, Sling repair/replacement</t>
  </si>
  <si>
    <t>25C-14</t>
  </si>
  <si>
    <t>Watersports Equipment- Single and Double Kayak, 2 Paddle Boards, Hobie Sail</t>
  </si>
  <si>
    <t>CARIBBEAN WATERWORKS43097-- (1.) tango kayak sun, (1.) Duetto Kayak sun, (2.) paddleboard - P&amp;B- 25C-14</t>
  </si>
  <si>
    <t>25C-15</t>
  </si>
  <si>
    <t>Pool Furniture- 20 Umbrellas Canvas, Cushion Repairs and Repalcements</t>
  </si>
  <si>
    <t>RESTORATION - Pool &amp; Beach - Chaise Lounges - repair,sanding 25C-15</t>
  </si>
  <si>
    <t>25C-16</t>
  </si>
  <si>
    <t>Pool Heater (2)</t>
  </si>
  <si>
    <t xml:space="preserve">CARLISLE SUPPLIES - 3174497--3 pool heaters - capex 25c-16 pool heater- </t>
  </si>
  <si>
    <t>25C-17</t>
  </si>
  <si>
    <t>Pool &amp; Jacuzzi Heater Pool Room Re-Piping</t>
  </si>
  <si>
    <t>25C-18</t>
  </si>
  <si>
    <t>Pool Filters (2)</t>
  </si>
  <si>
    <t>25C-19</t>
  </si>
  <si>
    <t>Jacuzzi/Pool Pump</t>
  </si>
  <si>
    <t>25C-20</t>
  </si>
  <si>
    <t>CCTV System Upgrade - including Roof Cam repalcement</t>
  </si>
  <si>
    <t>25C-21</t>
  </si>
  <si>
    <t>4" Water Main in Basement Upgrade (different section each year completed)</t>
  </si>
  <si>
    <t>25C-22</t>
  </si>
  <si>
    <r>
      <t xml:space="preserve">Sewage Treatment Plant Motor </t>
    </r>
    <r>
      <rPr>
        <sz val="11"/>
        <rFont val="Tahoma"/>
        <family val="2"/>
      </rPr>
      <t>(50/30/20)</t>
    </r>
  </si>
  <si>
    <t>25C-23</t>
  </si>
  <si>
    <t>A/C Tools &amp; Specialty Equipment, Recovery Pump and 5,550 #  Pallet Jack</t>
  </si>
  <si>
    <t>25C-24</t>
  </si>
  <si>
    <t>25C-25</t>
  </si>
  <si>
    <t>Miscellaneous - MEP</t>
  </si>
  <si>
    <t>HAYES ELEVATOR LTD104804--SUPPLY &amp; INSTALL 2 UPS BATTERY BACK UP UNITS-</t>
  </si>
  <si>
    <t>TOTAL 2025 CAPITAL RESERVE FUND</t>
  </si>
  <si>
    <t>2025 Reserves Page 1 of 3</t>
  </si>
  <si>
    <t>MAJOR EXPENDITURES  - 2025</t>
  </si>
  <si>
    <t>25M-01</t>
  </si>
  <si>
    <t>Upgraded Beach Umbreallas and Additional New Chaises and Side Tables</t>
  </si>
  <si>
    <t>25M-02</t>
  </si>
  <si>
    <t>ISLAND FIRE SUPPLIES LTD 8887.--fire pump supply installation - capex 25M-02</t>
  </si>
  <si>
    <t>25M-03</t>
  </si>
  <si>
    <t>25M-04</t>
  </si>
  <si>
    <t>Work shop / Landscaping storage refurbish</t>
  </si>
  <si>
    <t>25M-05</t>
  </si>
  <si>
    <t>Pool Exhaust Duct Replacement</t>
  </si>
  <si>
    <t>25M-06</t>
  </si>
  <si>
    <t xml:space="preserve"> Fire Alarm  (IFS)</t>
  </si>
  <si>
    <t>ISLAND FIRE SUPPLIES LTD - 8806.-- strata - completion of fire alarm renovation- 25M-06</t>
  </si>
  <si>
    <t>TOTAL 2025 MAJOR RESERVE FUND</t>
  </si>
  <si>
    <t>2025 Reserves Page 2 of 3</t>
  </si>
  <si>
    <t>RESERVE FUNDS  2025</t>
  </si>
  <si>
    <t>OPENING BALANCE 2025:</t>
  </si>
  <si>
    <t>FUNDINGS AS OF MAR 25</t>
  </si>
  <si>
    <t>EXPENDITURES MAR 25</t>
  </si>
  <si>
    <t>ENDING BALANCE MARCH 2025</t>
  </si>
  <si>
    <t>FUNDINGS APR  to DEC 2025</t>
  </si>
  <si>
    <t>FORECAST EXPENDITURES APR to DEC 2025</t>
  </si>
  <si>
    <t>BALANCE ESTIMATED DECEMBER 2025</t>
  </si>
  <si>
    <t>2025 Reserves Page 3 of 3</t>
  </si>
  <si>
    <t>Reserve fundings - 31- March 2025</t>
  </si>
  <si>
    <t>RP O15</t>
  </si>
  <si>
    <t>-BSF11-BS F12'</t>
  </si>
  <si>
    <t>-BS F19'</t>
  </si>
  <si>
    <t>BS F49'</t>
  </si>
  <si>
    <t>BS F50'</t>
  </si>
  <si>
    <t>2025 vs 2024</t>
  </si>
  <si>
    <t>PROPRIETORS STRATA PLAN # 50 - BUDGET 2025</t>
  </si>
  <si>
    <t>BUDGET 2025</t>
  </si>
  <si>
    <t>B 2025 vs Act 2024</t>
  </si>
  <si>
    <t>B 2025 vs Act 2023</t>
  </si>
  <si>
    <t>YTD 2025</t>
  </si>
  <si>
    <t>8887.--fire pump supply installation - capex 24m-04- $28,371.00</t>
  </si>
  <si>
    <t>8806.-- strata - completion of fire alarm renovation- $85,792.00</t>
  </si>
  <si>
    <t>FUNDINGS AS OF JAN to DEC 2025</t>
  </si>
  <si>
    <t>FORECAST EXPENDITURES 2025</t>
  </si>
  <si>
    <t>ENDING BALANCE DEC 2025</t>
  </si>
  <si>
    <t>Pool &amp; Beach Payroll</t>
  </si>
  <si>
    <t xml:space="preserve">Electricity </t>
  </si>
  <si>
    <t>water</t>
  </si>
  <si>
    <t>Gas/Propane</t>
  </si>
  <si>
    <t xml:space="preserve">Total </t>
  </si>
  <si>
    <t>Double Kayak (1)</t>
  </si>
  <si>
    <t>Single Kayak (1)</t>
  </si>
  <si>
    <t xml:space="preserve">Hobie Color Sail </t>
  </si>
  <si>
    <t>Paddle Board</t>
  </si>
  <si>
    <t>TOTAL COST</t>
  </si>
  <si>
    <t>COST EACH</t>
  </si>
  <si>
    <t>AMOUNT EACH</t>
  </si>
  <si>
    <t>ITEM</t>
  </si>
  <si>
    <t>Non-motorize sports</t>
  </si>
  <si>
    <t>Cushions (New &amp; Repairs)</t>
  </si>
  <si>
    <t>Umbrella Canvas</t>
  </si>
  <si>
    <t>Umbrella Base Fasteners</t>
  </si>
  <si>
    <t>POOL FURNITURE CAPITAL 2025</t>
  </si>
  <si>
    <t xml:space="preserve">Miscellaneous: </t>
  </si>
  <si>
    <t>Umbrella Augers</t>
  </si>
  <si>
    <t>Umbrellas - 9' (Somerset Style - Greenwich - Aluminum)</t>
  </si>
  <si>
    <t>Beach Side Tables</t>
  </si>
  <si>
    <t>Slings and Repairs</t>
  </si>
  <si>
    <t>Beach Chaise</t>
  </si>
  <si>
    <t>AMOUNT</t>
  </si>
  <si>
    <t>BEACH FURNITURE CAPITAL 2025</t>
  </si>
  <si>
    <t>Strata Plans # 50 Income statement YTD 2025</t>
  </si>
  <si>
    <t>Pool &amp; Beach Supplies Furniture</t>
  </si>
  <si>
    <t>Pool &amp; Beach Laundry</t>
  </si>
  <si>
    <t>Common Area Payroll &amp; expenses</t>
  </si>
  <si>
    <t>Maintenance &amp; Landscaping payroll</t>
  </si>
  <si>
    <t>Pool repair</t>
  </si>
  <si>
    <t>Watersports Repair</t>
  </si>
  <si>
    <t>Decrease</t>
  </si>
  <si>
    <t xml:space="preserve"> Higher expenses direclty </t>
  </si>
  <si>
    <t xml:space="preserve"> related to higher revenues</t>
  </si>
  <si>
    <t>Travel expense - expense for the board to travel for AGM annually</t>
  </si>
  <si>
    <t>Other expense - WB auditing firm financial review accrual - $562.50 and 330 for seascape parking lot for staff monthly rental</t>
  </si>
  <si>
    <t>Total</t>
  </si>
  <si>
    <t>Accrual - WB Financials for FY 23 &amp; 24, (no review was done a decision to be made), and Travel expense accrual for board (funds used in 2024 by the board was $3,500)</t>
  </si>
  <si>
    <t>Gas/ Propane</t>
  </si>
  <si>
    <t>Monogram fridges cost $14,478</t>
  </si>
  <si>
    <t>Water heater cost $1,260</t>
  </si>
  <si>
    <t xml:space="preserve">higher expenses direclty </t>
  </si>
  <si>
    <t>related to higher revenues</t>
  </si>
  <si>
    <t>NOTES</t>
  </si>
  <si>
    <t>Payroll Expenses</t>
  </si>
  <si>
    <t xml:space="preserve"> Q1 2025 vs B 2025</t>
  </si>
  <si>
    <t>March YTD 2025</t>
  </si>
  <si>
    <t>Strata fees</t>
  </si>
  <si>
    <t>Security expenses</t>
  </si>
  <si>
    <t>Housing</t>
  </si>
  <si>
    <t>Variance</t>
  </si>
  <si>
    <t xml:space="preserve">Strata fees will be billed out for the remainder of the year commencing May 2025 </t>
  </si>
  <si>
    <t>INCREASE IN STRATA FEES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</si>
  <si>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</si>
  <si>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</si>
  <si>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</si>
  <si>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</si>
  <si>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</si>
  <si>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</si>
  <si>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</si>
  <si>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</si>
  <si>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</si>
  <si>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</si>
  <si>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</si>
  <si>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Strata Fees 2023</t>
  </si>
  <si>
    <t>Strata Fees 2025</t>
  </si>
  <si>
    <t>avg 166 units - 2023</t>
  </si>
  <si>
    <t>avg 166 units - 2025</t>
  </si>
  <si>
    <t>variance per unit/room</t>
  </si>
  <si>
    <t>1. Since the property was closed for 3 months in 2024, we have used 2023 (full year) to compared the increase impact for budget 2025</t>
  </si>
  <si>
    <t>2. Strata fees not billed for the first 4 months will be billed prorated to owners commencing May 2025 at an average  increase of $200  per unit.</t>
  </si>
  <si>
    <t>2025 Budget Increase - Security</t>
  </si>
  <si>
    <t>Contracted Security Manager - WCSS (Palms and Shore Club)</t>
  </si>
  <si>
    <t>Oversee all aspects of managing the security team</t>
  </si>
  <si>
    <t>Training, scheduling, disciplinaries, hires</t>
  </si>
  <si>
    <t>Reports, SOPs</t>
  </si>
  <si>
    <t>External Security</t>
  </si>
  <si>
    <t>Staff Parking Lot coverage initially from 2:30pm, now 4:00-11:30pm</t>
  </si>
  <si>
    <t>Staffing Gate / Vehicle and Bag Checks</t>
  </si>
  <si>
    <t>Sick/ Vacation Coverage</t>
  </si>
  <si>
    <t>Internal Security</t>
  </si>
  <si>
    <t>Beach</t>
  </si>
  <si>
    <t>Property Walks</t>
  </si>
  <si>
    <t>Lost and Found</t>
  </si>
  <si>
    <t>Loss Prevention</t>
  </si>
  <si>
    <t>Camera Surveillance</t>
  </si>
  <si>
    <t>Incident and Accident Reports</t>
  </si>
  <si>
    <t>Future Plans</t>
  </si>
  <si>
    <t>Incoming Assitant Security Manager (late June) - Jamaica/Present Detective/ Ex-Swat</t>
  </si>
  <si>
    <t>Recruitment of Security Director (Palms and Shore Club) - Reviewing CVs</t>
  </si>
  <si>
    <r>
      <t xml:space="preserve">Recruitment of Gurkas - </t>
    </r>
    <r>
      <rPr>
        <sz val="12"/>
        <color theme="1"/>
        <rFont val="Tahoma"/>
        <family val="2"/>
      </rPr>
      <t>soldiers native to the Indian subcontinent</t>
    </r>
  </si>
  <si>
    <r>
      <t>Unique Army unit with </t>
    </r>
    <r>
      <rPr>
        <sz val="12"/>
        <color rgb="FF040C28"/>
        <rFont val="Tahoma"/>
        <family val="2"/>
      </rPr>
      <t>a reputation of being amongst the finest and most feared soldiers in the world</t>
    </r>
  </si>
  <si>
    <t>Immediate recutiment of internal security guards for the Staff Parking Area - to lower expenses</t>
  </si>
  <si>
    <t>Ultimately, to resume full management of the Security Team and no longer be contracted with WCSS</t>
  </si>
  <si>
    <t>once we are full staffed (2 managers &amp; supervisors)</t>
  </si>
  <si>
    <t>Less reliance on External Security but still some for an important balance</t>
  </si>
  <si>
    <t>Miscellaneous &amp; Hurricane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</si>
</sst>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5" formatCode="&quot;$&quot;#,##0_);\(&quot;$&quot;#,##0\)"/>
    <numFmt numFmtId="7" formatCode="&quot;$&quot;#,##0.00_);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0.0%"/>
    <numFmt numFmtId="167" formatCode="_(&quot;$&quot;* #,##0_);_(&quot;$&quot;* \(#,##0\);_(&quot;$&quot;* &quot;-&quot;??_);_(@_)"/>
    <numFmt numFmtId="168" formatCode="_(* #,##0.00000_);_(* \(#,##0.00000\);_(* &quot;-&quot;_);_(@_)"/>
    <numFmt numFmtId="169" formatCode="_(&quot;$&quot;* #,##0.00_);_(&quot;$&quot;* \(#,##0.00\);_(&quot;$&quot;* &quot;-&quot;_);_(@_)"/>
    <numFmt numFmtId="170" formatCode="_(* #,##0.000000_);_(* \(#,##0.000000\);_(* &quot;-&quot;??????_);_(@_)"/>
    <numFmt numFmtId="171" formatCode="0.00000"/>
    <numFmt numFmtId="172" formatCode="&quot;$&quot;#,##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u/>
      <sz val="9"/>
      <name val="Calibri"/>
      <family val="2"/>
      <scheme val="minor"/>
    </font>
    <font>
      <sz val="10"/>
      <name val="Calibri"/>
      <family val="2"/>
      <scheme val="minor"/>
    </font>
    <font>
      <u/>
      <sz val="9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b/>
      <i/>
      <sz val="10"/>
      <name val="Arial"/>
      <family val="2"/>
    </font>
    <font>
      <sz val="10"/>
      <name val="Times New Roman"/>
      <family val="1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</font>
    <font>
      <b/>
      <u/>
      <sz val="14"/>
      <name val="Calibri"/>
      <family val="2"/>
    </font>
    <font>
      <sz val="14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1"/>
      <name val="Tahoma"/>
      <family val="2"/>
    </font>
    <font>
      <sz val="9"/>
      <color indexed="30"/>
      <name val="Tahoma"/>
      <family val="2"/>
    </font>
    <font>
      <i/>
      <sz val="10"/>
      <color theme="4" tint="-0.249977111117893"/>
      <name val="Calibri"/>
      <family val="2"/>
      <scheme val="minor"/>
    </font>
    <font>
      <b/>
      <i/>
      <sz val="8"/>
      <name val="Arial"/>
      <family val="2"/>
    </font>
    <font>
      <i/>
      <sz val="8"/>
      <name val="Arial"/>
      <family val="2"/>
    </font>
    <font>
      <i/>
      <sz val="12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Tahoma"/>
      <family val="2"/>
    </font>
    <font>
      <b/>
      <sz val="12"/>
      <color theme="1"/>
      <name val="Tahoma"/>
      <family val="2"/>
    </font>
    <font>
      <b/>
      <sz val="12"/>
      <color theme="1"/>
      <name val="Calibri"/>
      <family val="2"/>
      <scheme val="minor"/>
    </font>
    <font>
      <b/>
      <sz val="18"/>
      <color theme="1"/>
      <name val="Tahoma"/>
      <family val="2"/>
    </font>
    <font>
      <b/>
      <sz val="14"/>
      <color theme="1"/>
      <name val="Tahoma"/>
      <family val="2"/>
    </font>
    <font>
      <sz val="12"/>
      <color theme="1"/>
      <name val="Tahoma"/>
      <family val="2"/>
    </font>
    <font>
      <sz val="12"/>
      <color rgb="FF474747"/>
      <name val="Tahoma"/>
      <family val="2"/>
    </font>
    <font>
      <sz val="12"/>
      <color rgb="FF040C28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1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33" fillId="0" borderId="0"/>
    <xf numFmtId="43" fontId="12" fillId="0" borderId="0" applyFont="0" applyFill="0" applyBorder="0" applyAlignment="0" applyProtection="0"/>
    <xf numFmtId="0" fontId="1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4" fontId="12" fillId="0" borderId="0" applyFont="0" applyFill="0" applyBorder="0" applyAlignment="0" applyProtection="0"/>
  </cellStyleXfs>
  <cellXfs count="85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3" borderId="0" xfId="0" applyFont="1" applyFill="1"/>
    <xf numFmtId="0" fontId="3" fillId="3" borderId="0" xfId="0" applyFont="1" applyFill="1"/>
    <xf numFmtId="43" fontId="2" fillId="2" borderId="0" xfId="0" applyNumberFormat="1" applyFont="1" applyFill="1"/>
    <xf numFmtId="43" fontId="2" fillId="3" borderId="0" xfId="0" applyNumberFormat="1" applyFont="1" applyFill="1"/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43" fontId="3" fillId="2" borderId="0" xfId="0" applyNumberFormat="1" applyFont="1" applyFill="1" applyAlignment="1">
      <alignment horizontal="center"/>
    </xf>
    <xf numFmtId="43" fontId="3" fillId="3" borderId="0" xfId="0" applyNumberFormat="1" applyFont="1" applyFill="1" applyAlignment="1">
      <alignment horizontal="center"/>
    </xf>
    <xf numFmtId="0" fontId="3" fillId="4" borderId="1" xfId="0" applyFont="1" applyFill="1" applyBorder="1" applyAlignment="1">
      <alignment horizontal="center"/>
    </xf>
    <xf numFmtId="43" fontId="3" fillId="4" borderId="2" xfId="0" applyNumberFormat="1" applyFont="1" applyFill="1" applyBorder="1" applyAlignment="1">
      <alignment horizontal="center"/>
    </xf>
    <xf numFmtId="43" fontId="3" fillId="4" borderId="3" xfId="0" applyNumberFormat="1" applyFont="1" applyFill="1" applyBorder="1" applyAlignment="1">
      <alignment horizontal="center"/>
    </xf>
    <xf numFmtId="43" fontId="3" fillId="4" borderId="1" xfId="0" applyNumberFormat="1" applyFont="1" applyFill="1" applyBorder="1" applyAlignment="1">
      <alignment horizontal="center"/>
    </xf>
    <xf numFmtId="43" fontId="3" fillId="4" borderId="4" xfId="0" applyNumberFormat="1" applyFont="1" applyFill="1" applyBorder="1" applyAlignment="1">
      <alignment horizontal="center"/>
    </xf>
    <xf numFmtId="0" fontId="2" fillId="2" borderId="1" xfId="0" applyFont="1" applyFill="1" applyBorder="1"/>
    <xf numFmtId="165" fontId="2" fillId="2" borderId="6" xfId="1" applyNumberFormat="1" applyFont="1" applyFill="1" applyBorder="1"/>
    <xf numFmtId="165" fontId="2" fillId="3" borderId="0" xfId="1" applyNumberFormat="1" applyFont="1" applyFill="1" applyBorder="1"/>
    <xf numFmtId="165" fontId="2" fillId="2" borderId="3" xfId="1" applyNumberFormat="1" applyFont="1" applyFill="1" applyBorder="1"/>
    <xf numFmtId="166" fontId="4" fillId="2" borderId="5" xfId="2" applyNumberFormat="1" applyFont="1" applyFill="1" applyBorder="1"/>
    <xf numFmtId="165" fontId="2" fillId="2" borderId="0" xfId="1" applyNumberFormat="1" applyFont="1" applyFill="1" applyBorder="1"/>
    <xf numFmtId="0" fontId="3" fillId="2" borderId="7" xfId="0" applyFont="1" applyFill="1" applyBorder="1"/>
    <xf numFmtId="165" fontId="3" fillId="2" borderId="8" xfId="1" applyNumberFormat="1" applyFont="1" applyFill="1" applyBorder="1"/>
    <xf numFmtId="165" fontId="3" fillId="2" borderId="7" xfId="1" applyNumberFormat="1" applyFont="1" applyFill="1" applyBorder="1"/>
    <xf numFmtId="165" fontId="3" fillId="3" borderId="0" xfId="1" applyNumberFormat="1" applyFont="1" applyFill="1" applyBorder="1"/>
    <xf numFmtId="165" fontId="2" fillId="2" borderId="9" xfId="1" applyNumberFormat="1" applyFont="1" applyFill="1" applyBorder="1"/>
    <xf numFmtId="166" fontId="4" fillId="2" borderId="10" xfId="2" applyNumberFormat="1" applyFont="1" applyFill="1" applyBorder="1"/>
    <xf numFmtId="43" fontId="3" fillId="2" borderId="0" xfId="0" applyNumberFormat="1" applyFont="1" applyFill="1"/>
    <xf numFmtId="165" fontId="3" fillId="2" borderId="0" xfId="1" applyNumberFormat="1" applyFont="1" applyFill="1" applyBorder="1"/>
    <xf numFmtId="0" fontId="2" fillId="2" borderId="7" xfId="0" applyFont="1" applyFill="1" applyBorder="1"/>
    <xf numFmtId="165" fontId="2" fillId="2" borderId="7" xfId="1" applyNumberFormat="1" applyFont="1" applyFill="1" applyBorder="1"/>
    <xf numFmtId="165" fontId="2" fillId="2" borderId="11" xfId="1" applyNumberFormat="1" applyFont="1" applyFill="1" applyBorder="1"/>
    <xf numFmtId="0" fontId="2" fillId="2" borderId="12" xfId="0" applyFont="1" applyFill="1" applyBorder="1"/>
    <xf numFmtId="165" fontId="2" fillId="2" borderId="12" xfId="1" applyNumberFormat="1" applyFont="1" applyFill="1" applyBorder="1"/>
    <xf numFmtId="165" fontId="2" fillId="2" borderId="13" xfId="1" applyNumberFormat="1" applyFont="1" applyFill="1" applyBorder="1"/>
    <xf numFmtId="166" fontId="4" fillId="2" borderId="14" xfId="2" applyNumberFormat="1" applyFont="1" applyFill="1" applyBorder="1"/>
    <xf numFmtId="41" fontId="2" fillId="2" borderId="7" xfId="1" applyNumberFormat="1" applyFont="1" applyFill="1" applyBorder="1"/>
    <xf numFmtId="41" fontId="2" fillId="2" borderId="12" xfId="1" applyNumberFormat="1" applyFont="1" applyFill="1" applyBorder="1"/>
    <xf numFmtId="165" fontId="2" fillId="2" borderId="15" xfId="1" applyNumberFormat="1" applyFont="1" applyFill="1" applyBorder="1"/>
    <xf numFmtId="165" fontId="2" fillId="2" borderId="16" xfId="1" applyNumberFormat="1" applyFont="1" applyFill="1" applyBorder="1"/>
    <xf numFmtId="165" fontId="2" fillId="2" borderId="17" xfId="1" applyNumberFormat="1" applyFont="1" applyFill="1" applyBorder="1"/>
    <xf numFmtId="166" fontId="4" fillId="2" borderId="17" xfId="2" applyNumberFormat="1" applyFont="1" applyFill="1" applyBorder="1"/>
    <xf numFmtId="0" fontId="3" fillId="2" borderId="18" xfId="0" applyFont="1" applyFill="1" applyBorder="1"/>
    <xf numFmtId="165" fontId="3" fillId="2" borderId="18" xfId="1" applyNumberFormat="1" applyFont="1" applyFill="1" applyBorder="1"/>
    <xf numFmtId="165" fontId="3" fillId="2" borderId="13" xfId="1" applyNumberFormat="1" applyFont="1" applyFill="1" applyBorder="1"/>
    <xf numFmtId="9" fontId="5" fillId="2" borderId="14" xfId="2" applyFont="1" applyFill="1" applyBorder="1"/>
    <xf numFmtId="165" fontId="3" fillId="2" borderId="0" xfId="1" applyNumberFormat="1" applyFont="1" applyFill="1"/>
    <xf numFmtId="0" fontId="6" fillId="2" borderId="0" xfId="0" applyFont="1" applyFill="1"/>
    <xf numFmtId="0" fontId="6" fillId="3" borderId="0" xfId="0" applyFont="1" applyFill="1"/>
    <xf numFmtId="0" fontId="2" fillId="3" borderId="3" xfId="0" applyFont="1" applyFill="1" applyBorder="1"/>
    <xf numFmtId="0" fontId="2" fillId="3" borderId="19" xfId="0" applyFont="1" applyFill="1" applyBorder="1"/>
    <xf numFmtId="0" fontId="2" fillId="3" borderId="5" xfId="0" applyFont="1" applyFill="1" applyBorder="1"/>
    <xf numFmtId="41" fontId="3" fillId="3" borderId="1" xfId="0" applyNumberFormat="1" applyFont="1" applyFill="1" applyBorder="1"/>
    <xf numFmtId="165" fontId="5" fillId="2" borderId="0" xfId="1" applyNumberFormat="1" applyFont="1" applyFill="1" applyAlignment="1"/>
    <xf numFmtId="165" fontId="3" fillId="2" borderId="1" xfId="1" applyNumberFormat="1" applyFont="1" applyFill="1" applyBorder="1"/>
    <xf numFmtId="165" fontId="5" fillId="2" borderId="0" xfId="1" applyNumberFormat="1" applyFont="1" applyFill="1" applyAlignment="1">
      <alignment horizontal="left"/>
    </xf>
    <xf numFmtId="165" fontId="6" fillId="2" borderId="0" xfId="1" applyNumberFormat="1" applyFont="1" applyFill="1"/>
    <xf numFmtId="165" fontId="6" fillId="3" borderId="0" xfId="1" applyNumberFormat="1" applyFont="1" applyFill="1" applyBorder="1"/>
    <xf numFmtId="165" fontId="6" fillId="2" borderId="0" xfId="1" applyNumberFormat="1" applyFont="1" applyFill="1" applyBorder="1"/>
    <xf numFmtId="0" fontId="3" fillId="4" borderId="3" xfId="0" applyFont="1" applyFill="1" applyBorder="1"/>
    <xf numFmtId="0" fontId="3" fillId="3" borderId="9" xfId="0" applyFont="1" applyFill="1" applyBorder="1"/>
    <xf numFmtId="165" fontId="2" fillId="2" borderId="0" xfId="0" applyNumberFormat="1" applyFont="1" applyFill="1"/>
    <xf numFmtId="165" fontId="5" fillId="2" borderId="0" xfId="0" applyNumberFormat="1" applyFont="1" applyFill="1"/>
    <xf numFmtId="0" fontId="3" fillId="4" borderId="1" xfId="0" applyFont="1" applyFill="1" applyBorder="1"/>
    <xf numFmtId="43" fontId="3" fillId="4" borderId="19" xfId="0" applyNumberFormat="1" applyFont="1" applyFill="1" applyBorder="1" applyAlignment="1">
      <alignment horizontal="center"/>
    </xf>
    <xf numFmtId="165" fontId="3" fillId="3" borderId="0" xfId="0" applyNumberFormat="1" applyFont="1" applyFill="1" applyAlignment="1">
      <alignment horizontal="center"/>
    </xf>
    <xf numFmtId="165" fontId="2" fillId="2" borderId="20" xfId="1" applyNumberFormat="1" applyFont="1" applyFill="1" applyBorder="1"/>
    <xf numFmtId="165" fontId="2" fillId="2" borderId="21" xfId="1" applyNumberFormat="1" applyFont="1" applyFill="1" applyBorder="1"/>
    <xf numFmtId="165" fontId="2" fillId="2" borderId="22" xfId="1" applyNumberFormat="1" applyFont="1" applyFill="1" applyBorder="1"/>
    <xf numFmtId="165" fontId="2" fillId="2" borderId="23" xfId="1" applyNumberFormat="1" applyFont="1" applyFill="1" applyBorder="1"/>
    <xf numFmtId="0" fontId="3" fillId="2" borderId="12" xfId="0" applyFont="1" applyFill="1" applyBorder="1"/>
    <xf numFmtId="165" fontId="3" fillId="2" borderId="3" xfId="1" applyNumberFormat="1" applyFont="1" applyFill="1" applyBorder="1"/>
    <xf numFmtId="165" fontId="3" fillId="2" borderId="24" xfId="1" applyNumberFormat="1" applyFont="1" applyFill="1" applyBorder="1"/>
    <xf numFmtId="166" fontId="5" fillId="2" borderId="5" xfId="2" applyNumberFormat="1" applyFont="1" applyFill="1" applyBorder="1"/>
    <xf numFmtId="165" fontId="3" fillId="3" borderId="25" xfId="1" applyNumberFormat="1" applyFont="1" applyFill="1" applyBorder="1"/>
    <xf numFmtId="43" fontId="6" fillId="2" borderId="0" xfId="1" applyFont="1" applyFill="1"/>
    <xf numFmtId="43" fontId="6" fillId="3" borderId="0" xfId="1" applyFont="1" applyFill="1" applyBorder="1"/>
    <xf numFmtId="43" fontId="3" fillId="2" borderId="26" xfId="0" applyNumberFormat="1" applyFont="1" applyFill="1" applyBorder="1" applyAlignment="1">
      <alignment horizontal="center"/>
    </xf>
    <xf numFmtId="0" fontId="2" fillId="2" borderId="8" xfId="0" applyFont="1" applyFill="1" applyBorder="1"/>
    <xf numFmtId="165" fontId="2" fillId="2" borderId="27" xfId="1" applyNumberFormat="1" applyFont="1" applyFill="1" applyBorder="1"/>
    <xf numFmtId="165" fontId="2" fillId="2" borderId="8" xfId="1" applyNumberFormat="1" applyFont="1" applyFill="1" applyBorder="1"/>
    <xf numFmtId="165" fontId="2" fillId="2" borderId="28" xfId="1" applyNumberFormat="1" applyFont="1" applyFill="1" applyBorder="1"/>
    <xf numFmtId="165" fontId="2" fillId="2" borderId="29" xfId="1" applyNumberFormat="1" applyFont="1" applyFill="1" applyBorder="1"/>
    <xf numFmtId="166" fontId="4" fillId="2" borderId="30" xfId="2" applyNumberFormat="1" applyFont="1" applyFill="1" applyBorder="1"/>
    <xf numFmtId="165" fontId="2" fillId="2" borderId="25" xfId="1" applyNumberFormat="1" applyFont="1" applyFill="1" applyBorder="1"/>
    <xf numFmtId="165" fontId="2" fillId="2" borderId="31" xfId="1" applyNumberFormat="1" applyFont="1" applyFill="1" applyBorder="1"/>
    <xf numFmtId="165" fontId="2" fillId="2" borderId="32" xfId="1" applyNumberFormat="1" applyFont="1" applyFill="1" applyBorder="1"/>
    <xf numFmtId="165" fontId="2" fillId="2" borderId="24" xfId="1" applyNumberFormat="1" applyFont="1" applyFill="1" applyBorder="1"/>
    <xf numFmtId="165" fontId="3" fillId="2" borderId="12" xfId="1" applyNumberFormat="1" applyFont="1" applyFill="1" applyBorder="1"/>
    <xf numFmtId="43" fontId="2" fillId="3" borderId="0" xfId="1" applyFont="1" applyFill="1" applyBorder="1"/>
    <xf numFmtId="165" fontId="2" fillId="0" borderId="7" xfId="1" applyNumberFormat="1" applyFont="1" applyFill="1" applyBorder="1"/>
    <xf numFmtId="165" fontId="3" fillId="2" borderId="33" xfId="1" applyNumberFormat="1" applyFont="1" applyFill="1" applyBorder="1"/>
    <xf numFmtId="43" fontId="3" fillId="3" borderId="0" xfId="1" applyFont="1" applyFill="1" applyBorder="1"/>
    <xf numFmtId="43" fontId="3" fillId="3" borderId="25" xfId="1" applyFont="1" applyFill="1" applyBorder="1"/>
    <xf numFmtId="165" fontId="3" fillId="2" borderId="26" xfId="0" applyNumberFormat="1" applyFont="1" applyFill="1" applyBorder="1" applyAlignment="1">
      <alignment horizontal="center"/>
    </xf>
    <xf numFmtId="0" fontId="3" fillId="2" borderId="1" xfId="0" applyFont="1" applyFill="1" applyBorder="1"/>
    <xf numFmtId="165" fontId="3" fillId="2" borderId="2" xfId="1" applyNumberFormat="1" applyFont="1" applyFill="1" applyBorder="1"/>
    <xf numFmtId="165" fontId="3" fillId="2" borderId="34" xfId="1" applyNumberFormat="1" applyFont="1" applyFill="1" applyBorder="1"/>
    <xf numFmtId="165" fontId="3" fillId="2" borderId="4" xfId="1" applyNumberFormat="1" applyFont="1" applyFill="1" applyBorder="1"/>
    <xf numFmtId="43" fontId="3" fillId="2" borderId="0" xfId="1" applyFont="1" applyFill="1" applyBorder="1"/>
    <xf numFmtId="43" fontId="3" fillId="3" borderId="0" xfId="0" applyNumberFormat="1" applyFont="1" applyFill="1"/>
    <xf numFmtId="17" fontId="3" fillId="3" borderId="0" xfId="0" applyNumberFormat="1" applyFont="1" applyFill="1"/>
    <xf numFmtId="43" fontId="6" fillId="2" borderId="0" xfId="1" applyFont="1" applyFill="1" applyBorder="1"/>
    <xf numFmtId="0" fontId="3" fillId="2" borderId="13" xfId="0" applyFont="1" applyFill="1" applyBorder="1"/>
    <xf numFmtId="43" fontId="3" fillId="3" borderId="9" xfId="1" applyFont="1" applyFill="1" applyBorder="1"/>
    <xf numFmtId="165" fontId="2" fillId="2" borderId="10" xfId="1" applyNumberFormat="1" applyFont="1" applyFill="1" applyBorder="1"/>
    <xf numFmtId="41" fontId="2" fillId="2" borderId="8" xfId="1" applyNumberFormat="1" applyFont="1" applyFill="1" applyBorder="1"/>
    <xf numFmtId="41" fontId="2" fillId="2" borderId="36" xfId="1" applyNumberFormat="1" applyFont="1" applyFill="1" applyBorder="1"/>
    <xf numFmtId="41" fontId="7" fillId="3" borderId="37" xfId="0" applyNumberFormat="1" applyFont="1" applyFill="1" applyBorder="1" applyAlignment="1">
      <alignment horizontal="center"/>
    </xf>
    <xf numFmtId="41" fontId="2" fillId="2" borderId="0" xfId="1" applyNumberFormat="1" applyFont="1" applyFill="1" applyBorder="1"/>
    <xf numFmtId="0" fontId="2" fillId="3" borderId="7" xfId="0" applyFont="1" applyFill="1" applyBorder="1"/>
    <xf numFmtId="41" fontId="2" fillId="3" borderId="7" xfId="0" applyNumberFormat="1" applyFont="1" applyFill="1" applyBorder="1" applyAlignment="1">
      <alignment horizontal="center"/>
    </xf>
    <xf numFmtId="41" fontId="2" fillId="3" borderId="0" xfId="0" applyNumberFormat="1" applyFont="1" applyFill="1" applyAlignment="1">
      <alignment horizontal="center"/>
    </xf>
    <xf numFmtId="43" fontId="2" fillId="3" borderId="0" xfId="0" applyNumberFormat="1" applyFont="1" applyFill="1" applyAlignment="1">
      <alignment horizontal="center"/>
    </xf>
    <xf numFmtId="165" fontId="8" fillId="3" borderId="0" xfId="1" applyNumberFormat="1" applyFont="1" applyFill="1" applyBorder="1"/>
    <xf numFmtId="41" fontId="2" fillId="2" borderId="7" xfId="0" applyNumberFormat="1" applyFont="1" applyFill="1" applyBorder="1"/>
    <xf numFmtId="41" fontId="2" fillId="2" borderId="0" xfId="0" applyNumberFormat="1" applyFont="1" applyFill="1"/>
    <xf numFmtId="41" fontId="7" fillId="3" borderId="38" xfId="0" applyNumberFormat="1" applyFont="1" applyFill="1" applyBorder="1" applyAlignment="1">
      <alignment horizontal="center"/>
    </xf>
    <xf numFmtId="41" fontId="2" fillId="2" borderId="26" xfId="1" applyNumberFormat="1" applyFont="1" applyFill="1" applyBorder="1"/>
    <xf numFmtId="165" fontId="3" fillId="2" borderId="0" xfId="0" applyNumberFormat="1" applyFont="1" applyFill="1" applyAlignment="1">
      <alignment horizontal="center"/>
    </xf>
    <xf numFmtId="165" fontId="3" fillId="3" borderId="9" xfId="1" applyNumberFormat="1" applyFont="1" applyFill="1" applyBorder="1"/>
    <xf numFmtId="0" fontId="2" fillId="2" borderId="39" xfId="0" applyFont="1" applyFill="1" applyBorder="1"/>
    <xf numFmtId="43" fontId="2" fillId="2" borderId="40" xfId="1" applyFont="1" applyFill="1" applyBorder="1"/>
    <xf numFmtId="43" fontId="2" fillId="2" borderId="39" xfId="1" applyFont="1" applyFill="1" applyBorder="1"/>
    <xf numFmtId="43" fontId="2" fillId="2" borderId="41" xfId="1" applyFont="1" applyFill="1" applyBorder="1"/>
    <xf numFmtId="43" fontId="2" fillId="2" borderId="42" xfId="1" applyFont="1" applyFill="1" applyBorder="1"/>
    <xf numFmtId="43" fontId="2" fillId="2" borderId="16" xfId="1" applyFont="1" applyFill="1" applyBorder="1"/>
    <xf numFmtId="43" fontId="2" fillId="2" borderId="0" xfId="1" applyFont="1" applyFill="1" applyBorder="1"/>
    <xf numFmtId="0" fontId="3" fillId="2" borderId="9" xfId="0" applyFont="1" applyFill="1" applyBorder="1"/>
    <xf numFmtId="43" fontId="2" fillId="2" borderId="31" xfId="1" applyFont="1" applyFill="1" applyBorder="1"/>
    <xf numFmtId="43" fontId="2" fillId="2" borderId="9" xfId="1" applyFont="1" applyFill="1" applyBorder="1"/>
    <xf numFmtId="43" fontId="2" fillId="2" borderId="7" xfId="1" applyFont="1" applyFill="1" applyBorder="1"/>
    <xf numFmtId="43" fontId="2" fillId="2" borderId="11" xfId="1" applyFont="1" applyFill="1" applyBorder="1"/>
    <xf numFmtId="0" fontId="2" fillId="2" borderId="9" xfId="0" applyFont="1" applyFill="1" applyBorder="1"/>
    <xf numFmtId="0" fontId="2" fillId="2" borderId="15" xfId="0" applyFont="1" applyFill="1" applyBorder="1"/>
    <xf numFmtId="43" fontId="2" fillId="2" borderId="43" xfId="1" applyFont="1" applyFill="1" applyBorder="1"/>
    <xf numFmtId="43" fontId="2" fillId="2" borderId="15" xfId="1" applyFont="1" applyFill="1" applyBorder="1"/>
    <xf numFmtId="43" fontId="2" fillId="2" borderId="44" xfId="1" applyFont="1" applyFill="1" applyBorder="1"/>
    <xf numFmtId="0" fontId="3" fillId="2" borderId="8" xfId="0" applyFont="1" applyFill="1" applyBorder="1"/>
    <xf numFmtId="165" fontId="3" fillId="2" borderId="45" xfId="1" applyNumberFormat="1" applyFont="1" applyFill="1" applyBorder="1"/>
    <xf numFmtId="165" fontId="3" fillId="2" borderId="46" xfId="1" applyNumberFormat="1" applyFont="1" applyFill="1" applyBorder="1"/>
    <xf numFmtId="165" fontId="3" fillId="2" borderId="47" xfId="1" applyNumberFormat="1" applyFont="1" applyFill="1" applyBorder="1"/>
    <xf numFmtId="165" fontId="2" fillId="2" borderId="46" xfId="1" applyNumberFormat="1" applyFont="1" applyFill="1" applyBorder="1"/>
    <xf numFmtId="166" fontId="4" fillId="2" borderId="48" xfId="2" applyNumberFormat="1" applyFont="1" applyFill="1" applyBorder="1"/>
    <xf numFmtId="41" fontId="11" fillId="2" borderId="0" xfId="0" applyNumberFormat="1" applyFont="1" applyFill="1"/>
    <xf numFmtId="165" fontId="2" fillId="2" borderId="14" xfId="1" applyNumberFormat="1" applyFont="1" applyFill="1" applyBorder="1"/>
    <xf numFmtId="43" fontId="3" fillId="5" borderId="2" xfId="0" applyNumberFormat="1" applyFont="1" applyFill="1" applyBorder="1" applyAlignment="1">
      <alignment horizontal="center"/>
    </xf>
    <xf numFmtId="165" fontId="2" fillId="5" borderId="25" xfId="1" applyNumberFormat="1" applyFont="1" applyFill="1" applyBorder="1"/>
    <xf numFmtId="165" fontId="2" fillId="5" borderId="43" xfId="1" applyNumberFormat="1" applyFont="1" applyFill="1" applyBorder="1"/>
    <xf numFmtId="165" fontId="2" fillId="5" borderId="12" xfId="1" applyNumberFormat="1" applyFont="1" applyFill="1" applyBorder="1"/>
    <xf numFmtId="165" fontId="2" fillId="5" borderId="44" xfId="1" applyNumberFormat="1" applyFont="1" applyFill="1" applyBorder="1"/>
    <xf numFmtId="165" fontId="3" fillId="5" borderId="25" xfId="1" applyNumberFormat="1" applyFont="1" applyFill="1" applyBorder="1"/>
    <xf numFmtId="165" fontId="3" fillId="5" borderId="32" xfId="1" applyNumberFormat="1" applyFont="1" applyFill="1" applyBorder="1"/>
    <xf numFmtId="43" fontId="2" fillId="5" borderId="0" xfId="0" applyNumberFormat="1" applyFont="1" applyFill="1"/>
    <xf numFmtId="165" fontId="2" fillId="5" borderId="33" xfId="1" applyNumberFormat="1" applyFont="1" applyFill="1" applyBorder="1"/>
    <xf numFmtId="165" fontId="3" fillId="5" borderId="1" xfId="1" applyNumberFormat="1" applyFont="1" applyFill="1" applyBorder="1"/>
    <xf numFmtId="165" fontId="3" fillId="5" borderId="4" xfId="1" applyNumberFormat="1" applyFont="1" applyFill="1" applyBorder="1"/>
    <xf numFmtId="165" fontId="2" fillId="5" borderId="2" xfId="1" applyNumberFormat="1" applyFont="1" applyFill="1" applyBorder="1"/>
    <xf numFmtId="165" fontId="3" fillId="5" borderId="2" xfId="1" applyNumberFormat="1" applyFont="1" applyFill="1" applyBorder="1"/>
    <xf numFmtId="165" fontId="3" fillId="5" borderId="24" xfId="1" applyNumberFormat="1" applyFont="1" applyFill="1" applyBorder="1"/>
    <xf numFmtId="41" fontId="2" fillId="3" borderId="35" xfId="0" applyNumberFormat="1" applyFont="1" applyFill="1" applyBorder="1" applyAlignment="1">
      <alignment horizontal="center"/>
    </xf>
    <xf numFmtId="41" fontId="2" fillId="3" borderId="37" xfId="0" applyNumberFormat="1" applyFont="1" applyFill="1" applyBorder="1" applyAlignment="1">
      <alignment horizontal="center"/>
    </xf>
    <xf numFmtId="43" fontId="2" fillId="5" borderId="31" xfId="1" applyFont="1" applyFill="1" applyBorder="1"/>
    <xf numFmtId="165" fontId="3" fillId="5" borderId="33" xfId="1" applyNumberFormat="1" applyFont="1" applyFill="1" applyBorder="1"/>
    <xf numFmtId="43" fontId="3" fillId="6" borderId="2" xfId="0" applyNumberFormat="1" applyFont="1" applyFill="1" applyBorder="1" applyAlignment="1">
      <alignment horizontal="center"/>
    </xf>
    <xf numFmtId="165" fontId="2" fillId="6" borderId="6" xfId="1" applyNumberFormat="1" applyFont="1" applyFill="1" applyBorder="1"/>
    <xf numFmtId="165" fontId="3" fillId="6" borderId="8" xfId="1" applyNumberFormat="1" applyFont="1" applyFill="1" applyBorder="1"/>
    <xf numFmtId="165" fontId="2" fillId="6" borderId="7" xfId="1" applyNumberFormat="1" applyFont="1" applyFill="1" applyBorder="1"/>
    <xf numFmtId="165" fontId="2" fillId="6" borderId="14" xfId="1" applyNumberFormat="1" applyFont="1" applyFill="1" applyBorder="1"/>
    <xf numFmtId="165" fontId="3" fillId="6" borderId="7" xfId="1" applyNumberFormat="1" applyFont="1" applyFill="1" applyBorder="1"/>
    <xf numFmtId="165" fontId="2" fillId="6" borderId="12" xfId="1" applyNumberFormat="1" applyFont="1" applyFill="1" applyBorder="1"/>
    <xf numFmtId="41" fontId="2" fillId="6" borderId="7" xfId="1" applyNumberFormat="1" applyFont="1" applyFill="1" applyBorder="1"/>
    <xf numFmtId="41" fontId="2" fillId="6" borderId="12" xfId="1" applyNumberFormat="1" applyFont="1" applyFill="1" applyBorder="1"/>
    <xf numFmtId="165" fontId="2" fillId="6" borderId="15" xfId="1" applyNumberFormat="1" applyFont="1" applyFill="1" applyBorder="1"/>
    <xf numFmtId="165" fontId="3" fillId="6" borderId="18" xfId="1" applyNumberFormat="1" applyFont="1" applyFill="1" applyBorder="1"/>
    <xf numFmtId="43" fontId="3" fillId="6" borderId="19" xfId="0" applyNumberFormat="1" applyFont="1" applyFill="1" applyBorder="1" applyAlignment="1">
      <alignment horizontal="center"/>
    </xf>
    <xf numFmtId="165" fontId="2" fillId="6" borderId="20" xfId="1" applyNumberFormat="1" applyFont="1" applyFill="1" applyBorder="1"/>
    <xf numFmtId="165" fontId="3" fillId="6" borderId="3" xfId="1" applyNumberFormat="1" applyFont="1" applyFill="1" applyBorder="1"/>
    <xf numFmtId="165" fontId="2" fillId="6" borderId="32" xfId="1" applyNumberFormat="1" applyFont="1" applyFill="1" applyBorder="1"/>
    <xf numFmtId="165" fontId="3" fillId="6" borderId="12" xfId="1" applyNumberFormat="1" applyFont="1" applyFill="1" applyBorder="1"/>
    <xf numFmtId="165" fontId="2" fillId="6" borderId="8" xfId="1" applyNumberFormat="1" applyFont="1" applyFill="1" applyBorder="1"/>
    <xf numFmtId="165" fontId="3" fillId="6" borderId="33" xfId="1" applyNumberFormat="1" applyFont="1" applyFill="1" applyBorder="1"/>
    <xf numFmtId="165" fontId="3" fillId="6" borderId="2" xfId="1" applyNumberFormat="1" applyFont="1" applyFill="1" applyBorder="1"/>
    <xf numFmtId="165" fontId="2" fillId="6" borderId="25" xfId="1" applyNumberFormat="1" applyFont="1" applyFill="1" applyBorder="1"/>
    <xf numFmtId="43" fontId="3" fillId="6" borderId="1" xfId="0" applyNumberFormat="1" applyFont="1" applyFill="1" applyBorder="1" applyAlignment="1">
      <alignment horizontal="center"/>
    </xf>
    <xf numFmtId="165" fontId="2" fillId="6" borderId="27" xfId="1" applyNumberFormat="1" applyFont="1" applyFill="1" applyBorder="1"/>
    <xf numFmtId="43" fontId="2" fillId="6" borderId="40" xfId="1" applyFont="1" applyFill="1" applyBorder="1"/>
    <xf numFmtId="43" fontId="2" fillId="6" borderId="31" xfId="1" applyFont="1" applyFill="1" applyBorder="1"/>
    <xf numFmtId="43" fontId="2" fillId="6" borderId="43" xfId="1" applyFont="1" applyFill="1" applyBorder="1"/>
    <xf numFmtId="165" fontId="3" fillId="6" borderId="45" xfId="1" applyNumberFormat="1" applyFont="1" applyFill="1" applyBorder="1"/>
    <xf numFmtId="43" fontId="3" fillId="4" borderId="50" xfId="0" applyNumberFormat="1" applyFont="1" applyFill="1" applyBorder="1" applyAlignment="1">
      <alignment horizontal="center"/>
    </xf>
    <xf numFmtId="43" fontId="3" fillId="4" borderId="51" xfId="0" applyNumberFormat="1" applyFont="1" applyFill="1" applyBorder="1" applyAlignment="1">
      <alignment horizontal="center"/>
    </xf>
    <xf numFmtId="43" fontId="3" fillId="4" borderId="52" xfId="0" applyNumberFormat="1" applyFont="1" applyFill="1" applyBorder="1" applyAlignment="1">
      <alignment horizontal="center"/>
    </xf>
    <xf numFmtId="165" fontId="2" fillId="2" borderId="54" xfId="1" applyNumberFormat="1" applyFont="1" applyFill="1" applyBorder="1"/>
    <xf numFmtId="165" fontId="2" fillId="2" borderId="55" xfId="1" applyNumberFormat="1" applyFont="1" applyFill="1" applyBorder="1"/>
    <xf numFmtId="165" fontId="3" fillId="2" borderId="53" xfId="1" applyNumberFormat="1" applyFont="1" applyFill="1" applyBorder="1"/>
    <xf numFmtId="165" fontId="3" fillId="2" borderId="54" xfId="1" applyNumberFormat="1" applyFont="1" applyFill="1" applyBorder="1"/>
    <xf numFmtId="165" fontId="2" fillId="2" borderId="56" xfId="1" applyNumberFormat="1" applyFont="1" applyFill="1" applyBorder="1"/>
    <xf numFmtId="165" fontId="2" fillId="2" borderId="57" xfId="1" applyNumberFormat="1" applyFont="1" applyFill="1" applyBorder="1"/>
    <xf numFmtId="165" fontId="3" fillId="2" borderId="58" xfId="1" applyNumberFormat="1" applyFont="1" applyFill="1" applyBorder="1"/>
    <xf numFmtId="165" fontId="3" fillId="2" borderId="59" xfId="1" applyNumberFormat="1" applyFont="1" applyFill="1" applyBorder="1"/>
    <xf numFmtId="0" fontId="2" fillId="2" borderId="60" xfId="0" applyFont="1" applyFill="1" applyBorder="1"/>
    <xf numFmtId="0" fontId="3" fillId="2" borderId="37" xfId="0" applyFont="1" applyFill="1" applyBorder="1"/>
    <xf numFmtId="0" fontId="2" fillId="2" borderId="37" xfId="0" applyFont="1" applyFill="1" applyBorder="1"/>
    <xf numFmtId="0" fontId="2" fillId="2" borderId="38" xfId="0" applyFont="1" applyFill="1" applyBorder="1"/>
    <xf numFmtId="0" fontId="3" fillId="2" borderId="61" xfId="0" applyFont="1" applyFill="1" applyBorder="1"/>
    <xf numFmtId="0" fontId="3" fillId="4" borderId="49" xfId="0" applyFont="1" applyFill="1" applyBorder="1" applyAlignment="1">
      <alignment horizontal="center"/>
    </xf>
    <xf numFmtId="0" fontId="3" fillId="4" borderId="49" xfId="0" applyFont="1" applyFill="1" applyBorder="1"/>
    <xf numFmtId="0" fontId="3" fillId="4" borderId="60" xfId="0" applyFont="1" applyFill="1" applyBorder="1"/>
    <xf numFmtId="0" fontId="3" fillId="2" borderId="64" xfId="0" applyFont="1" applyFill="1" applyBorder="1"/>
    <xf numFmtId="0" fontId="2" fillId="2" borderId="67" xfId="0" applyFont="1" applyFill="1" applyBorder="1"/>
    <xf numFmtId="165" fontId="2" fillId="2" borderId="68" xfId="1" applyNumberFormat="1" applyFont="1" applyFill="1" applyBorder="1"/>
    <xf numFmtId="165" fontId="2" fillId="2" borderId="69" xfId="1" applyNumberFormat="1" applyFont="1" applyFill="1" applyBorder="1"/>
    <xf numFmtId="165" fontId="2" fillId="2" borderId="65" xfId="1" applyNumberFormat="1" applyFont="1" applyFill="1" applyBorder="1"/>
    <xf numFmtId="165" fontId="3" fillId="2" borderId="70" xfId="1" applyNumberFormat="1" applyFont="1" applyFill="1" applyBorder="1"/>
    <xf numFmtId="165" fontId="3" fillId="2" borderId="71" xfId="1" applyNumberFormat="1" applyFont="1" applyFill="1" applyBorder="1"/>
    <xf numFmtId="165" fontId="3" fillId="2" borderId="50" xfId="1" applyNumberFormat="1" applyFont="1" applyFill="1" applyBorder="1"/>
    <xf numFmtId="165" fontId="3" fillId="2" borderId="51" xfId="1" applyNumberFormat="1" applyFont="1" applyFill="1" applyBorder="1"/>
    <xf numFmtId="165" fontId="3" fillId="2" borderId="52" xfId="1" applyNumberFormat="1" applyFont="1" applyFill="1" applyBorder="1"/>
    <xf numFmtId="0" fontId="3" fillId="2" borderId="49" xfId="0" applyFont="1" applyFill="1" applyBorder="1"/>
    <xf numFmtId="0" fontId="2" fillId="2" borderId="35" xfId="0" applyFont="1" applyFill="1" applyBorder="1"/>
    <xf numFmtId="0" fontId="2" fillId="3" borderId="37" xfId="0" applyFont="1" applyFill="1" applyBorder="1"/>
    <xf numFmtId="165" fontId="3" fillId="2" borderId="66" xfId="1" applyNumberFormat="1" applyFont="1" applyFill="1" applyBorder="1"/>
    <xf numFmtId="43" fontId="3" fillId="4" borderId="73" xfId="0" applyNumberFormat="1" applyFont="1" applyFill="1" applyBorder="1" applyAlignment="1">
      <alignment horizontal="center"/>
    </xf>
    <xf numFmtId="0" fontId="2" fillId="2" borderId="74" xfId="0" applyFont="1" applyFill="1" applyBorder="1"/>
    <xf numFmtId="0" fontId="2" fillId="2" borderId="75" xfId="0" applyFont="1" applyFill="1" applyBorder="1"/>
    <xf numFmtId="0" fontId="3" fillId="2" borderId="35" xfId="0" applyFont="1" applyFill="1" applyBorder="1"/>
    <xf numFmtId="165" fontId="3" fillId="2" borderId="77" xfId="1" applyNumberFormat="1" applyFont="1" applyFill="1" applyBorder="1"/>
    <xf numFmtId="165" fontId="2" fillId="2" borderId="78" xfId="1" applyNumberFormat="1" applyFont="1" applyFill="1" applyBorder="1"/>
    <xf numFmtId="165" fontId="2" fillId="2" borderId="79" xfId="1" applyNumberFormat="1" applyFont="1" applyFill="1" applyBorder="1"/>
    <xf numFmtId="9" fontId="3" fillId="2" borderId="0" xfId="2" applyFont="1" applyFill="1"/>
    <xf numFmtId="9" fontId="6" fillId="2" borderId="0" xfId="2" applyFont="1" applyFill="1"/>
    <xf numFmtId="9" fontId="3" fillId="2" borderId="0" xfId="2" applyFont="1" applyFill="1" applyBorder="1"/>
    <xf numFmtId="0" fontId="0" fillId="3" borderId="0" xfId="0" applyFill="1"/>
    <xf numFmtId="43" fontId="3" fillId="5" borderId="50" xfId="0" applyNumberFormat="1" applyFont="1" applyFill="1" applyBorder="1" applyAlignment="1">
      <alignment horizontal="center"/>
    </xf>
    <xf numFmtId="165" fontId="2" fillId="5" borderId="80" xfId="1" applyNumberFormat="1" applyFont="1" applyFill="1" applyBorder="1"/>
    <xf numFmtId="165" fontId="2" fillId="5" borderId="76" xfId="1" applyNumberFormat="1" applyFont="1" applyFill="1" applyBorder="1"/>
    <xf numFmtId="9" fontId="3" fillId="5" borderId="76" xfId="2" applyFont="1" applyFill="1" applyBorder="1"/>
    <xf numFmtId="165" fontId="3" fillId="5" borderId="76" xfId="1" applyNumberFormat="1" applyFont="1" applyFill="1" applyBorder="1"/>
    <xf numFmtId="9" fontId="2" fillId="5" borderId="76" xfId="2" applyFont="1" applyFill="1" applyBorder="1"/>
    <xf numFmtId="165" fontId="3" fillId="5" borderId="72" xfId="1" applyNumberFormat="1" applyFont="1" applyFill="1" applyBorder="1"/>
    <xf numFmtId="165" fontId="2" fillId="5" borderId="72" xfId="1" applyNumberFormat="1" applyFont="1" applyFill="1" applyBorder="1"/>
    <xf numFmtId="165" fontId="2" fillId="5" borderId="50" xfId="1" applyNumberFormat="1" applyFont="1" applyFill="1" applyBorder="1"/>
    <xf numFmtId="165" fontId="3" fillId="5" borderId="50" xfId="1" applyNumberFormat="1" applyFont="1" applyFill="1" applyBorder="1"/>
    <xf numFmtId="43" fontId="2" fillId="5" borderId="76" xfId="1" applyFont="1" applyFill="1" applyBorder="1"/>
    <xf numFmtId="165" fontId="2" fillId="5" borderId="81" xfId="1" applyNumberFormat="1" applyFont="1" applyFill="1" applyBorder="1"/>
    <xf numFmtId="43" fontId="2" fillId="5" borderId="81" xfId="1" applyFont="1" applyFill="1" applyBorder="1"/>
    <xf numFmtId="165" fontId="2" fillId="5" borderId="62" xfId="1" applyNumberFormat="1" applyFont="1" applyFill="1" applyBorder="1"/>
    <xf numFmtId="165" fontId="2" fillId="2" borderId="60" xfId="1" applyNumberFormat="1" applyFont="1" applyFill="1" applyBorder="1"/>
    <xf numFmtId="165" fontId="3" fillId="2" borderId="35" xfId="1" applyNumberFormat="1" applyFont="1" applyFill="1" applyBorder="1"/>
    <xf numFmtId="165" fontId="2" fillId="2" borderId="37" xfId="1" applyNumberFormat="1" applyFont="1" applyFill="1" applyBorder="1"/>
    <xf numFmtId="165" fontId="2" fillId="2" borderId="64" xfId="1" applyNumberFormat="1" applyFont="1" applyFill="1" applyBorder="1"/>
    <xf numFmtId="165" fontId="3" fillId="2" borderId="67" xfId="1" applyNumberFormat="1" applyFont="1" applyFill="1" applyBorder="1"/>
    <xf numFmtId="165" fontId="2" fillId="2" borderId="38" xfId="1" applyNumberFormat="1" applyFont="1" applyFill="1" applyBorder="1"/>
    <xf numFmtId="41" fontId="2" fillId="2" borderId="37" xfId="1" applyNumberFormat="1" applyFont="1" applyFill="1" applyBorder="1"/>
    <xf numFmtId="41" fontId="2" fillId="2" borderId="64" xfId="1" applyNumberFormat="1" applyFont="1" applyFill="1" applyBorder="1"/>
    <xf numFmtId="165" fontId="2" fillId="2" borderId="67" xfId="1" applyNumberFormat="1" applyFont="1" applyFill="1" applyBorder="1"/>
    <xf numFmtId="165" fontId="2" fillId="2" borderId="85" xfId="1" applyNumberFormat="1" applyFont="1" applyFill="1" applyBorder="1"/>
    <xf numFmtId="165" fontId="3" fillId="2" borderId="64" xfId="1" applyNumberFormat="1" applyFont="1" applyFill="1" applyBorder="1"/>
    <xf numFmtId="165" fontId="2" fillId="0" borderId="69" xfId="1" applyNumberFormat="1" applyFont="1" applyFill="1" applyBorder="1"/>
    <xf numFmtId="165" fontId="2" fillId="0" borderId="37" xfId="1" applyNumberFormat="1" applyFont="1" applyFill="1" applyBorder="1"/>
    <xf numFmtId="41" fontId="2" fillId="3" borderId="68" xfId="0" applyNumberFormat="1" applyFont="1" applyFill="1" applyBorder="1" applyAlignment="1">
      <alignment horizontal="center"/>
    </xf>
    <xf numFmtId="41" fontId="2" fillId="3" borderId="69" xfId="0" applyNumberFormat="1" applyFont="1" applyFill="1" applyBorder="1" applyAlignment="1">
      <alignment horizontal="center"/>
    </xf>
    <xf numFmtId="41" fontId="7" fillId="3" borderId="69" xfId="0" applyNumberFormat="1" applyFont="1" applyFill="1" applyBorder="1" applyAlignment="1">
      <alignment horizontal="center"/>
    </xf>
    <xf numFmtId="41" fontId="7" fillId="3" borderId="65" xfId="0" applyNumberFormat="1" applyFont="1" applyFill="1" applyBorder="1" applyAlignment="1">
      <alignment horizontal="center"/>
    </xf>
    <xf numFmtId="41" fontId="2" fillId="2" borderId="67" xfId="1" applyNumberFormat="1" applyFont="1" applyFill="1" applyBorder="1"/>
    <xf numFmtId="41" fontId="2" fillId="2" borderId="37" xfId="0" applyNumberFormat="1" applyFont="1" applyFill="1" applyBorder="1"/>
    <xf numFmtId="41" fontId="2" fillId="2" borderId="38" xfId="1" applyNumberFormat="1" applyFont="1" applyFill="1" applyBorder="1"/>
    <xf numFmtId="165" fontId="2" fillId="2" borderId="66" xfId="1" applyNumberFormat="1" applyFont="1" applyFill="1" applyBorder="1"/>
    <xf numFmtId="165" fontId="3" fillId="2" borderId="86" xfId="1" applyNumberFormat="1" applyFont="1" applyFill="1" applyBorder="1"/>
    <xf numFmtId="41" fontId="2" fillId="2" borderId="85" xfId="1" applyNumberFormat="1" applyFont="1" applyFill="1" applyBorder="1"/>
    <xf numFmtId="41" fontId="2" fillId="2" borderId="78" xfId="1" applyNumberFormat="1" applyFont="1" applyFill="1" applyBorder="1"/>
    <xf numFmtId="41" fontId="2" fillId="2" borderId="79" xfId="1" applyNumberFormat="1" applyFont="1" applyFill="1" applyBorder="1"/>
    <xf numFmtId="43" fontId="2" fillId="2" borderId="87" xfId="1" applyFont="1" applyFill="1" applyBorder="1"/>
    <xf numFmtId="43" fontId="2" fillId="2" borderId="69" xfId="1" applyFont="1" applyFill="1" applyBorder="1"/>
    <xf numFmtId="43" fontId="2" fillId="2" borderId="56" xfId="1" applyFont="1" applyFill="1" applyBorder="1"/>
    <xf numFmtId="43" fontId="2" fillId="2" borderId="88" xfId="1" applyFont="1" applyFill="1" applyBorder="1"/>
    <xf numFmtId="43" fontId="2" fillId="2" borderId="78" xfId="1" applyFont="1" applyFill="1" applyBorder="1"/>
    <xf numFmtId="43" fontId="2" fillId="2" borderId="89" xfId="1" applyFont="1" applyFill="1" applyBorder="1"/>
    <xf numFmtId="43" fontId="2" fillId="2" borderId="74" xfId="1" applyFont="1" applyFill="1" applyBorder="1"/>
    <xf numFmtId="43" fontId="2" fillId="2" borderId="37" xfId="1" applyFont="1" applyFill="1" applyBorder="1"/>
    <xf numFmtId="43" fontId="2" fillId="2" borderId="75" xfId="1" applyFont="1" applyFill="1" applyBorder="1"/>
    <xf numFmtId="165" fontId="3" fillId="2" borderId="61" xfId="1" applyNumberFormat="1" applyFont="1" applyFill="1" applyBorder="1"/>
    <xf numFmtId="165" fontId="6" fillId="2" borderId="0" xfId="2" applyNumberFormat="1" applyFont="1" applyFill="1"/>
    <xf numFmtId="9" fontId="2" fillId="5" borderId="63" xfId="2" applyFont="1" applyFill="1" applyBorder="1"/>
    <xf numFmtId="9" fontId="2" fillId="5" borderId="78" xfId="2" applyFont="1" applyFill="1" applyBorder="1"/>
    <xf numFmtId="9" fontId="3" fillId="5" borderId="78" xfId="2" applyFont="1" applyFill="1" applyBorder="1"/>
    <xf numFmtId="9" fontId="2" fillId="5" borderId="79" xfId="2" applyFont="1" applyFill="1" applyBorder="1"/>
    <xf numFmtId="9" fontId="0" fillId="3" borderId="0" xfId="2" applyFont="1" applyFill="1"/>
    <xf numFmtId="9" fontId="3" fillId="5" borderId="83" xfId="2" applyFont="1" applyFill="1" applyBorder="1" applyAlignment="1">
      <alignment horizontal="center"/>
    </xf>
    <xf numFmtId="9" fontId="2" fillId="3" borderId="0" xfId="2" applyFont="1" applyFill="1"/>
    <xf numFmtId="9" fontId="3" fillId="5" borderId="91" xfId="2" applyFont="1" applyFill="1" applyBorder="1"/>
    <xf numFmtId="9" fontId="2" fillId="3" borderId="0" xfId="2" applyFont="1" applyFill="1" applyBorder="1"/>
    <xf numFmtId="9" fontId="2" fillId="2" borderId="0" xfId="2" applyFont="1" applyFill="1"/>
    <xf numFmtId="9" fontId="6" fillId="2" borderId="0" xfId="2" applyFont="1" applyFill="1" applyBorder="1"/>
    <xf numFmtId="9" fontId="3" fillId="2" borderId="0" xfId="2" applyFont="1" applyFill="1" applyBorder="1" applyAlignment="1">
      <alignment horizontal="center"/>
    </xf>
    <xf numFmtId="9" fontId="3" fillId="3" borderId="0" xfId="2" applyFont="1" applyFill="1" applyBorder="1" applyAlignment="1"/>
    <xf numFmtId="9" fontId="0" fillId="0" borderId="0" xfId="2" applyFont="1"/>
    <xf numFmtId="165" fontId="2" fillId="5" borderId="69" xfId="1" applyNumberFormat="1" applyFont="1" applyFill="1" applyBorder="1"/>
    <xf numFmtId="165" fontId="2" fillId="5" borderId="65" xfId="1" applyNumberFormat="1" applyFont="1" applyFill="1" applyBorder="1"/>
    <xf numFmtId="165" fontId="3" fillId="5" borderId="66" xfId="1" applyNumberFormat="1" applyFont="1" applyFill="1" applyBorder="1"/>
    <xf numFmtId="9" fontId="2" fillId="5" borderId="37" xfId="2" applyFont="1" applyFill="1" applyBorder="1"/>
    <xf numFmtId="9" fontId="2" fillId="5" borderId="38" xfId="2" applyFont="1" applyFill="1" applyBorder="1"/>
    <xf numFmtId="9" fontId="3" fillId="5" borderId="64" xfId="2" applyFont="1" applyFill="1" applyBorder="1"/>
    <xf numFmtId="9" fontId="2" fillId="5" borderId="85" xfId="2" applyFont="1" applyFill="1" applyBorder="1"/>
    <xf numFmtId="9" fontId="2" fillId="5" borderId="91" xfId="2" applyFont="1" applyFill="1" applyBorder="1"/>
    <xf numFmtId="9" fontId="3" fillId="5" borderId="83" xfId="2" applyFont="1" applyFill="1" applyBorder="1"/>
    <xf numFmtId="43" fontId="3" fillId="4" borderId="82" xfId="0" applyNumberFormat="1" applyFont="1" applyFill="1" applyBorder="1" applyAlignment="1">
      <alignment horizontal="center"/>
    </xf>
    <xf numFmtId="165" fontId="3" fillId="5" borderId="76" xfId="2" applyNumberFormat="1" applyFont="1" applyFill="1" applyBorder="1"/>
    <xf numFmtId="165" fontId="2" fillId="5" borderId="76" xfId="2" applyNumberFormat="1" applyFont="1" applyFill="1" applyBorder="1"/>
    <xf numFmtId="9" fontId="3" fillId="5" borderId="49" xfId="2" applyFont="1" applyFill="1" applyBorder="1" applyAlignment="1">
      <alignment horizontal="center"/>
    </xf>
    <xf numFmtId="0" fontId="12" fillId="0" borderId="0" xfId="4" applyAlignment="1">
      <alignment vertical="top"/>
    </xf>
    <xf numFmtId="0" fontId="12" fillId="0" borderId="0" xfId="4"/>
    <xf numFmtId="49" fontId="24" fillId="0" borderId="0" xfId="4" applyNumberFormat="1" applyFont="1" applyAlignment="1">
      <alignment vertical="top"/>
    </xf>
    <xf numFmtId="0" fontId="12" fillId="0" borderId="0" xfId="4" applyAlignment="1">
      <alignment horizontal="center" vertical="top"/>
    </xf>
    <xf numFmtId="14" fontId="12" fillId="0" borderId="0" xfId="4" applyNumberFormat="1" applyAlignment="1">
      <alignment horizontal="center" vertical="top"/>
    </xf>
    <xf numFmtId="17" fontId="12" fillId="0" borderId="0" xfId="4" applyNumberFormat="1" applyAlignment="1">
      <alignment horizontal="center" vertical="top"/>
    </xf>
    <xf numFmtId="0" fontId="12" fillId="0" borderId="0" xfId="4" quotePrefix="1" applyAlignment="1">
      <alignment vertical="top"/>
    </xf>
    <xf numFmtId="40" fontId="12" fillId="0" borderId="0" xfId="4" applyNumberFormat="1" applyAlignment="1">
      <alignment vertical="top"/>
    </xf>
    <xf numFmtId="0" fontId="12" fillId="9" borderId="0" xfId="4" quotePrefix="1" applyFill="1" applyAlignment="1">
      <alignment vertical="top"/>
    </xf>
    <xf numFmtId="0" fontId="14" fillId="9" borderId="0" xfId="4" applyFont="1" applyFill="1" applyAlignment="1">
      <alignment vertical="top"/>
    </xf>
    <xf numFmtId="40" fontId="14" fillId="9" borderId="0" xfId="4" applyNumberFormat="1" applyFont="1" applyFill="1" applyAlignment="1">
      <alignment vertical="top"/>
    </xf>
    <xf numFmtId="165" fontId="12" fillId="0" borderId="0" xfId="4" applyNumberFormat="1"/>
    <xf numFmtId="43" fontId="12" fillId="0" borderId="0" xfId="4" applyNumberFormat="1"/>
    <xf numFmtId="0" fontId="12" fillId="10" borderId="0" xfId="4" quotePrefix="1" applyFill="1" applyAlignment="1">
      <alignment vertical="top"/>
    </xf>
    <xf numFmtId="0" fontId="14" fillId="10" borderId="0" xfId="4" applyFont="1" applyFill="1" applyAlignment="1">
      <alignment vertical="top"/>
    </xf>
    <xf numFmtId="40" fontId="14" fillId="10" borderId="0" xfId="4" applyNumberFormat="1" applyFont="1" applyFill="1" applyAlignment="1">
      <alignment vertical="top"/>
    </xf>
    <xf numFmtId="0" fontId="14" fillId="0" borderId="0" xfId="4" applyFont="1" applyAlignment="1">
      <alignment vertical="top"/>
    </xf>
    <xf numFmtId="40" fontId="14" fillId="0" borderId="0" xfId="4" applyNumberFormat="1" applyFont="1" applyAlignment="1">
      <alignment vertical="top"/>
    </xf>
    <xf numFmtId="41" fontId="14" fillId="7" borderId="92" xfId="0" applyNumberFormat="1" applyFont="1" applyFill="1" applyBorder="1"/>
    <xf numFmtId="41" fontId="0" fillId="7" borderId="92" xfId="0" applyNumberFormat="1" applyFill="1" applyBorder="1"/>
    <xf numFmtId="41" fontId="0" fillId="0" borderId="0" xfId="0" applyNumberFormat="1"/>
    <xf numFmtId="41" fontId="0" fillId="0" borderId="0" xfId="0" applyNumberFormat="1" applyAlignment="1">
      <alignment horizontal="center"/>
    </xf>
    <xf numFmtId="41" fontId="12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41" fontId="14" fillId="12" borderId="26" xfId="0" applyNumberFormat="1" applyFont="1" applyFill="1" applyBorder="1" applyAlignment="1">
      <alignment horizontal="center"/>
    </xf>
    <xf numFmtId="0" fontId="14" fillId="7" borderId="0" xfId="0" applyFont="1" applyFill="1" applyAlignment="1">
      <alignment horizontal="center"/>
    </xf>
    <xf numFmtId="41" fontId="14" fillId="0" borderId="0" xfId="0" applyNumberFormat="1" applyFont="1" applyAlignment="1">
      <alignment horizontal="center"/>
    </xf>
    <xf numFmtId="41" fontId="12" fillId="0" borderId="0" xfId="0" applyNumberFormat="1" applyFont="1"/>
    <xf numFmtId="9" fontId="25" fillId="0" borderId="0" xfId="2" applyFont="1" applyFill="1" applyAlignment="1">
      <alignment horizontal="center"/>
    </xf>
    <xf numFmtId="43" fontId="0" fillId="0" borderId="0" xfId="0" applyNumberFormat="1"/>
    <xf numFmtId="10" fontId="0" fillId="0" borderId="0" xfId="2" applyNumberFormat="1" applyFont="1" applyAlignment="1">
      <alignment horizontal="center"/>
    </xf>
    <xf numFmtId="41" fontId="0" fillId="0" borderId="26" xfId="0" applyNumberFormat="1" applyBorder="1"/>
    <xf numFmtId="43" fontId="0" fillId="0" borderId="26" xfId="0" applyNumberFormat="1" applyBorder="1"/>
    <xf numFmtId="41" fontId="14" fillId="0" borderId="0" xfId="0" applyNumberFormat="1" applyFont="1"/>
    <xf numFmtId="43" fontId="14" fillId="0" borderId="0" xfId="0" applyNumberFormat="1" applyFont="1"/>
    <xf numFmtId="41" fontId="20" fillId="13" borderId="0" xfId="0" applyNumberFormat="1" applyFont="1" applyFill="1" applyAlignment="1">
      <alignment horizontal="right"/>
    </xf>
    <xf numFmtId="168" fontId="0" fillId="0" borderId="0" xfId="0" applyNumberFormat="1"/>
    <xf numFmtId="0" fontId="26" fillId="3" borderId="0" xfId="0" applyFont="1" applyFill="1"/>
    <xf numFmtId="165" fontId="2" fillId="0" borderId="38" xfId="1" applyNumberFormat="1" applyFont="1" applyFill="1" applyBorder="1"/>
    <xf numFmtId="43" fontId="3" fillId="4" borderId="49" xfId="0" applyNumberFormat="1" applyFont="1" applyFill="1" applyBorder="1" applyAlignment="1">
      <alignment horizontal="center"/>
    </xf>
    <xf numFmtId="43" fontId="3" fillId="5" borderId="49" xfId="0" applyNumberFormat="1" applyFont="1" applyFill="1" applyBorder="1" applyAlignment="1">
      <alignment horizontal="center"/>
    </xf>
    <xf numFmtId="165" fontId="2" fillId="2" borderId="75" xfId="1" applyNumberFormat="1" applyFont="1" applyFill="1" applyBorder="1"/>
    <xf numFmtId="165" fontId="3" fillId="2" borderId="49" xfId="1" applyNumberFormat="1" applyFont="1" applyFill="1" applyBorder="1"/>
    <xf numFmtId="165" fontId="2" fillId="2" borderId="53" xfId="1" applyNumberFormat="1" applyFont="1" applyFill="1" applyBorder="1"/>
    <xf numFmtId="165" fontId="2" fillId="2" borderId="94" xfId="1" applyNumberFormat="1" applyFont="1" applyFill="1" applyBorder="1"/>
    <xf numFmtId="41" fontId="2" fillId="3" borderId="67" xfId="0" applyNumberFormat="1" applyFont="1" applyFill="1" applyBorder="1" applyAlignment="1">
      <alignment horizontal="center"/>
    </xf>
    <xf numFmtId="165" fontId="2" fillId="2" borderId="74" xfId="1" applyNumberFormat="1" applyFont="1" applyFill="1" applyBorder="1"/>
    <xf numFmtId="165" fontId="0" fillId="3" borderId="0" xfId="0" applyNumberFormat="1" applyFill="1"/>
    <xf numFmtId="165" fontId="2" fillId="2" borderId="93" xfId="1" applyNumberFormat="1" applyFont="1" applyFill="1" applyBorder="1"/>
    <xf numFmtId="0" fontId="23" fillId="3" borderId="0" xfId="0" applyFont="1" applyFill="1"/>
    <xf numFmtId="0" fontId="23" fillId="5" borderId="0" xfId="0" applyFont="1" applyFill="1"/>
    <xf numFmtId="0" fontId="0" fillId="3" borderId="26" xfId="0" applyFill="1" applyBorder="1"/>
    <xf numFmtId="165" fontId="0" fillId="3" borderId="26" xfId="0" applyNumberFormat="1" applyFill="1" applyBorder="1"/>
    <xf numFmtId="0" fontId="27" fillId="3" borderId="0" xfId="0" applyFont="1" applyFill="1"/>
    <xf numFmtId="165" fontId="27" fillId="3" borderId="0" xfId="0" applyNumberFormat="1" applyFont="1" applyFill="1"/>
    <xf numFmtId="0" fontId="27" fillId="3" borderId="95" xfId="0" applyFont="1" applyFill="1" applyBorder="1"/>
    <xf numFmtId="165" fontId="27" fillId="3" borderId="96" xfId="0" applyNumberFormat="1" applyFont="1" applyFill="1" applyBorder="1"/>
    <xf numFmtId="0" fontId="28" fillId="3" borderId="97" xfId="0" applyFont="1" applyFill="1" applyBorder="1" applyAlignment="1">
      <alignment horizontal="right"/>
    </xf>
    <xf numFmtId="165" fontId="27" fillId="3" borderId="98" xfId="0" applyNumberFormat="1" applyFont="1" applyFill="1" applyBorder="1"/>
    <xf numFmtId="165" fontId="0" fillId="0" borderId="0" xfId="0" applyNumberFormat="1"/>
    <xf numFmtId="165" fontId="2" fillId="2" borderId="99" xfId="1" applyNumberFormat="1" applyFont="1" applyFill="1" applyBorder="1"/>
    <xf numFmtId="165" fontId="3" fillId="2" borderId="100" xfId="1" applyNumberFormat="1" applyFont="1" applyFill="1" applyBorder="1"/>
    <xf numFmtId="165" fontId="3" fillId="2" borderId="68" xfId="1" applyNumberFormat="1" applyFont="1" applyFill="1" applyBorder="1"/>
    <xf numFmtId="41" fontId="2" fillId="2" borderId="69" xfId="1" applyNumberFormat="1" applyFont="1" applyFill="1" applyBorder="1"/>
    <xf numFmtId="41" fontId="2" fillId="2" borderId="66" xfId="1" applyNumberFormat="1" applyFont="1" applyFill="1" applyBorder="1"/>
    <xf numFmtId="165" fontId="3" fillId="2" borderId="69" xfId="1" applyNumberFormat="1" applyFont="1" applyFill="1" applyBorder="1"/>
    <xf numFmtId="165" fontId="3" fillId="2" borderId="101" xfId="1" applyNumberFormat="1" applyFont="1" applyFill="1" applyBorder="1"/>
    <xf numFmtId="165" fontId="3" fillId="2" borderId="102" xfId="1" applyNumberFormat="1" applyFont="1" applyFill="1" applyBorder="1"/>
    <xf numFmtId="165" fontId="3" fillId="2" borderId="82" xfId="1" applyNumberFormat="1" applyFont="1" applyFill="1" applyBorder="1"/>
    <xf numFmtId="0" fontId="11" fillId="3" borderId="0" xfId="0" applyFont="1" applyFill="1"/>
    <xf numFmtId="0" fontId="30" fillId="3" borderId="0" xfId="0" applyFont="1" applyFill="1"/>
    <xf numFmtId="0" fontId="31" fillId="3" borderId="0" xfId="0" applyFont="1" applyFill="1"/>
    <xf numFmtId="0" fontId="32" fillId="7" borderId="3" xfId="0" applyFont="1" applyFill="1" applyBorder="1" applyAlignment="1">
      <alignment horizontal="center"/>
    </xf>
    <xf numFmtId="0" fontId="32" fillId="7" borderId="1" xfId="0" applyFont="1" applyFill="1" applyBorder="1" applyAlignment="1">
      <alignment horizontal="center"/>
    </xf>
    <xf numFmtId="49" fontId="11" fillId="3" borderId="0" xfId="0" applyNumberFormat="1" applyFont="1" applyFill="1"/>
    <xf numFmtId="17" fontId="11" fillId="3" borderId="0" xfId="0" applyNumberFormat="1" applyFont="1" applyFill="1"/>
    <xf numFmtId="170" fontId="29" fillId="3" borderId="1" xfId="0" applyNumberFormat="1" applyFont="1" applyFill="1" applyBorder="1"/>
    <xf numFmtId="170" fontId="29" fillId="3" borderId="1" xfId="0" applyNumberFormat="1" applyFont="1" applyFill="1" applyBorder="1" applyAlignment="1">
      <alignment horizontal="left"/>
    </xf>
    <xf numFmtId="171" fontId="11" fillId="3" borderId="0" xfId="0" applyNumberFormat="1" applyFont="1" applyFill="1"/>
    <xf numFmtId="170" fontId="11" fillId="3" borderId="0" xfId="0" applyNumberFormat="1" applyFont="1" applyFill="1"/>
    <xf numFmtId="0" fontId="32" fillId="3" borderId="0" xfId="0" applyFont="1" applyFill="1" applyAlignment="1">
      <alignment horizontal="center"/>
    </xf>
    <xf numFmtId="170" fontId="29" fillId="3" borderId="0" xfId="0" applyNumberFormat="1" applyFont="1" applyFill="1"/>
    <xf numFmtId="170" fontId="32" fillId="3" borderId="0" xfId="0" applyNumberFormat="1" applyFont="1" applyFill="1"/>
    <xf numFmtId="0" fontId="29" fillId="3" borderId="0" xfId="0" applyFont="1" applyFill="1"/>
    <xf numFmtId="0" fontId="11" fillId="3" borderId="0" xfId="0" applyFont="1" applyFill="1" applyAlignment="1">
      <alignment horizontal="right"/>
    </xf>
    <xf numFmtId="166" fontId="11" fillId="5" borderId="1" xfId="0" applyNumberFormat="1" applyFont="1" applyFill="1" applyBorder="1"/>
    <xf numFmtId="166" fontId="11" fillId="3" borderId="0" xfId="0" applyNumberFormat="1" applyFont="1" applyFill="1"/>
    <xf numFmtId="165" fontId="3" fillId="2" borderId="9" xfId="1" applyNumberFormat="1" applyFont="1" applyFill="1" applyBorder="1"/>
    <xf numFmtId="165" fontId="3" fillId="2" borderId="103" xfId="1" applyNumberFormat="1" applyFont="1" applyFill="1" applyBorder="1"/>
    <xf numFmtId="165" fontId="3" fillId="2" borderId="104" xfId="1" applyNumberFormat="1" applyFont="1" applyFill="1" applyBorder="1"/>
    <xf numFmtId="165" fontId="3" fillId="2" borderId="105" xfId="1" applyNumberFormat="1" applyFont="1" applyFill="1" applyBorder="1"/>
    <xf numFmtId="0" fontId="32" fillId="3" borderId="1" xfId="0" applyFont="1" applyFill="1" applyBorder="1" applyAlignment="1">
      <alignment horizontal="center"/>
    </xf>
    <xf numFmtId="0" fontId="24" fillId="2" borderId="0" xfId="5" applyFont="1" applyFill="1"/>
    <xf numFmtId="165" fontId="0" fillId="0" borderId="0" xfId="6" applyNumberFormat="1" applyFont="1" applyAlignment="1">
      <alignment vertical="top"/>
    </xf>
    <xf numFmtId="165" fontId="0" fillId="0" borderId="0" xfId="6" applyNumberFormat="1" applyFont="1" applyAlignment="1">
      <alignment horizontal="center" vertical="top"/>
    </xf>
    <xf numFmtId="165" fontId="0" fillId="0" borderId="0" xfId="6" quotePrefix="1" applyNumberFormat="1" applyFont="1" applyAlignment="1">
      <alignment vertical="top"/>
    </xf>
    <xf numFmtId="165" fontId="14" fillId="9" borderId="0" xfId="6" applyNumberFormat="1" applyFont="1" applyFill="1" applyAlignment="1">
      <alignment vertical="top"/>
    </xf>
    <xf numFmtId="165" fontId="0" fillId="0" borderId="0" xfId="6" applyNumberFormat="1" applyFont="1"/>
    <xf numFmtId="164" fontId="12" fillId="0" borderId="0" xfId="4" applyNumberFormat="1"/>
    <xf numFmtId="165" fontId="0" fillId="0" borderId="0" xfId="6" applyNumberFormat="1" applyFont="1" applyFill="1"/>
    <xf numFmtId="0" fontId="29" fillId="0" borderId="0" xfId="5" applyFont="1"/>
    <xf numFmtId="165" fontId="12" fillId="0" borderId="0" xfId="6" applyNumberFormat="1" applyFont="1" applyAlignment="1">
      <alignment vertical="top"/>
    </xf>
    <xf numFmtId="165" fontId="0" fillId="0" borderId="0" xfId="6" applyNumberFormat="1" applyFont="1" applyFill="1" applyAlignment="1">
      <alignment vertical="top"/>
    </xf>
    <xf numFmtId="165" fontId="12" fillId="0" borderId="0" xfId="6" applyNumberFormat="1" applyFill="1"/>
    <xf numFmtId="165" fontId="12" fillId="0" borderId="0" xfId="6" applyNumberFormat="1"/>
    <xf numFmtId="165" fontId="12" fillId="0" borderId="0" xfId="6" applyNumberFormat="1" applyAlignment="1">
      <alignment vertical="top"/>
    </xf>
    <xf numFmtId="165" fontId="14" fillId="10" borderId="0" xfId="6" applyNumberFormat="1" applyFont="1" applyFill="1" applyAlignment="1">
      <alignment vertical="top"/>
    </xf>
    <xf numFmtId="165" fontId="12" fillId="0" borderId="0" xfId="6" applyNumberFormat="1" applyFill="1" applyAlignment="1">
      <alignment vertical="top"/>
    </xf>
    <xf numFmtId="165" fontId="14" fillId="0" borderId="0" xfId="6" applyNumberFormat="1" applyFont="1" applyAlignment="1">
      <alignment vertical="top"/>
    </xf>
    <xf numFmtId="0" fontId="14" fillId="2" borderId="0" xfId="7" applyFont="1" applyFill="1"/>
    <xf numFmtId="2" fontId="19" fillId="2" borderId="60" xfId="8" applyNumberFormat="1" applyFont="1" applyFill="1" applyBorder="1" applyAlignment="1">
      <alignment horizontal="center" vertical="center"/>
    </xf>
    <xf numFmtId="0" fontId="19" fillId="3" borderId="60" xfId="8" applyFont="1" applyFill="1" applyBorder="1" applyAlignment="1">
      <alignment vertical="center"/>
    </xf>
    <xf numFmtId="42" fontId="19" fillId="2" borderId="60" xfId="7" applyNumberFormat="1" applyFont="1" applyFill="1" applyBorder="1" applyAlignment="1">
      <alignment vertical="center"/>
    </xf>
    <xf numFmtId="2" fontId="19" fillId="2" borderId="90" xfId="8" applyNumberFormat="1" applyFont="1" applyFill="1" applyBorder="1" applyAlignment="1">
      <alignment horizontal="center" vertical="center"/>
    </xf>
    <xf numFmtId="0" fontId="19" fillId="3" borderId="90" xfId="8" applyFont="1" applyFill="1" applyBorder="1" applyAlignment="1">
      <alignment vertical="center"/>
    </xf>
    <xf numFmtId="42" fontId="19" fillId="2" borderId="90" xfId="7" applyNumberFormat="1" applyFont="1" applyFill="1" applyBorder="1" applyAlignment="1">
      <alignment vertical="center"/>
    </xf>
    <xf numFmtId="42" fontId="19" fillId="0" borderId="90" xfId="7" applyNumberFormat="1" applyFont="1" applyBorder="1" applyAlignment="1">
      <alignment vertical="center"/>
    </xf>
    <xf numFmtId="42" fontId="34" fillId="3" borderId="90" xfId="7" applyNumberFormat="1" applyFont="1" applyFill="1" applyBorder="1" applyAlignment="1">
      <alignment horizontal="right" vertical="center"/>
    </xf>
    <xf numFmtId="42" fontId="19" fillId="3" borderId="90" xfId="7" applyNumberFormat="1" applyFont="1" applyFill="1" applyBorder="1" applyAlignment="1">
      <alignment vertical="center"/>
    </xf>
    <xf numFmtId="0" fontId="19" fillId="0" borderId="38" xfId="8" applyFont="1" applyBorder="1" applyAlignment="1">
      <alignment vertical="center"/>
    </xf>
    <xf numFmtId="0" fontId="19" fillId="3" borderId="5" xfId="7" applyFont="1" applyFill="1" applyBorder="1" applyAlignment="1">
      <alignment vertical="center"/>
    </xf>
    <xf numFmtId="0" fontId="19" fillId="3" borderId="90" xfId="8" applyFont="1" applyFill="1" applyBorder="1" applyAlignment="1">
      <alignment vertical="center" wrapText="1"/>
    </xf>
    <xf numFmtId="0" fontId="34" fillId="3" borderId="90" xfId="8" applyFont="1" applyFill="1" applyBorder="1" applyAlignment="1">
      <alignment vertical="center"/>
    </xf>
    <xf numFmtId="0" fontId="19" fillId="3" borderId="35" xfId="8" applyFont="1" applyFill="1" applyBorder="1" applyAlignment="1">
      <alignment vertical="center"/>
    </xf>
    <xf numFmtId="42" fontId="34" fillId="3" borderId="35" xfId="7" applyNumberFormat="1" applyFont="1" applyFill="1" applyBorder="1" applyAlignment="1">
      <alignment horizontal="right" vertical="center"/>
    </xf>
    <xf numFmtId="0" fontId="19" fillId="2" borderId="90" xfId="7" applyFont="1" applyFill="1" applyBorder="1" applyAlignment="1">
      <alignment horizontal="center" vertical="center"/>
    </xf>
    <xf numFmtId="0" fontId="19" fillId="0" borderId="5" xfId="7" applyFont="1" applyBorder="1" applyAlignment="1">
      <alignment vertical="center"/>
    </xf>
    <xf numFmtId="0" fontId="19" fillId="0" borderId="14" xfId="7" applyFont="1" applyBorder="1" applyAlignment="1">
      <alignment vertical="center"/>
    </xf>
    <xf numFmtId="0" fontId="13" fillId="2" borderId="0" xfId="5" applyFont="1" applyFill="1"/>
    <xf numFmtId="0" fontId="14" fillId="2" borderId="0" xfId="5" applyFont="1" applyFill="1"/>
    <xf numFmtId="0" fontId="14" fillId="8" borderId="0" xfId="5" applyFont="1" applyFill="1" applyAlignment="1">
      <alignment horizontal="center"/>
    </xf>
    <xf numFmtId="0" fontId="14" fillId="8" borderId="0" xfId="5" applyFont="1" applyFill="1"/>
    <xf numFmtId="167" fontId="14" fillId="2" borderId="0" xfId="5" applyNumberFormat="1" applyFont="1" applyFill="1"/>
    <xf numFmtId="167" fontId="14" fillId="0" borderId="0" xfId="5" applyNumberFormat="1" applyFont="1"/>
    <xf numFmtId="43" fontId="21" fillId="2" borderId="0" xfId="5" applyNumberFormat="1" applyFont="1" applyFill="1"/>
    <xf numFmtId="167" fontId="13" fillId="2" borderId="0" xfId="5" applyNumberFormat="1" applyFont="1" applyFill="1"/>
    <xf numFmtId="0" fontId="12" fillId="2" borderId="0" xfId="5" applyFont="1" applyFill="1"/>
    <xf numFmtId="7" fontId="13" fillId="2" borderId="0" xfId="5" applyNumberFormat="1" applyFont="1" applyFill="1"/>
    <xf numFmtId="5" fontId="13" fillId="2" borderId="0" xfId="5" applyNumberFormat="1" applyFont="1" applyFill="1"/>
    <xf numFmtId="0" fontId="14" fillId="2" borderId="0" xfId="5" applyFont="1" applyFill="1" applyAlignment="1">
      <alignment horizontal="right"/>
    </xf>
    <xf numFmtId="0" fontId="14" fillId="2" borderId="84" xfId="5" applyFont="1" applyFill="1" applyBorder="1"/>
    <xf numFmtId="167" fontId="14" fillId="2" borderId="84" xfId="5" applyNumberFormat="1" applyFont="1" applyFill="1" applyBorder="1"/>
    <xf numFmtId="164" fontId="13" fillId="2" borderId="0" xfId="5" applyNumberFormat="1" applyFont="1" applyFill="1"/>
    <xf numFmtId="0" fontId="17" fillId="2" borderId="0" xfId="5" applyFont="1" applyFill="1" applyAlignment="1">
      <alignment horizontal="right"/>
    </xf>
    <xf numFmtId="0" fontId="22" fillId="2" borderId="0" xfId="5" applyFont="1" applyFill="1" applyAlignment="1">
      <alignment horizontal="right"/>
    </xf>
    <xf numFmtId="0" fontId="13" fillId="2" borderId="0" xfId="5" applyFont="1" applyFill="1" applyAlignment="1">
      <alignment horizontal="right"/>
    </xf>
    <xf numFmtId="165" fontId="12" fillId="0" borderId="0" xfId="6" applyNumberFormat="1" applyFont="1" applyFill="1"/>
    <xf numFmtId="0" fontId="13" fillId="2" borderId="0" xfId="8" applyFont="1" applyFill="1" applyAlignment="1">
      <alignment horizontal="right"/>
    </xf>
    <xf numFmtId="0" fontId="14" fillId="2" borderId="0" xfId="8" applyFont="1" applyFill="1"/>
    <xf numFmtId="0" fontId="13" fillId="2" borderId="0" xfId="8" applyFont="1" applyFill="1"/>
    <xf numFmtId="7" fontId="13" fillId="2" borderId="0" xfId="8" applyNumberFormat="1" applyFont="1" applyFill="1"/>
    <xf numFmtId="5" fontId="15" fillId="7" borderId="8" xfId="8" applyNumberFormat="1" applyFont="1" applyFill="1" applyBorder="1" applyAlignment="1">
      <alignment horizontal="center"/>
    </xf>
    <xf numFmtId="5" fontId="15" fillId="2" borderId="0" xfId="8" applyNumberFormat="1" applyFont="1" applyFill="1" applyAlignment="1">
      <alignment horizontal="center"/>
    </xf>
    <xf numFmtId="0" fontId="14" fillId="2" borderId="0" xfId="8" applyFont="1" applyFill="1" applyAlignment="1">
      <alignment horizontal="right"/>
    </xf>
    <xf numFmtId="0" fontId="14" fillId="7" borderId="12" xfId="8" applyFont="1" applyFill="1" applyBorder="1" applyAlignment="1">
      <alignment horizontal="center"/>
    </xf>
    <xf numFmtId="49" fontId="14" fillId="2" borderId="0" xfId="8" applyNumberFormat="1" applyFont="1" applyFill="1" applyAlignment="1">
      <alignment horizontal="right"/>
    </xf>
    <xf numFmtId="49" fontId="14" fillId="7" borderId="12" xfId="8" quotePrefix="1" applyNumberFormat="1" applyFont="1" applyFill="1" applyBorder="1" applyAlignment="1">
      <alignment horizontal="center"/>
    </xf>
    <xf numFmtId="49" fontId="14" fillId="7" borderId="12" xfId="8" applyNumberFormat="1" applyFont="1" applyFill="1" applyBorder="1" applyAlignment="1">
      <alignment horizontal="center"/>
    </xf>
    <xf numFmtId="41" fontId="13" fillId="2" borderId="0" xfId="8" applyNumberFormat="1" applyFont="1" applyFill="1"/>
    <xf numFmtId="42" fontId="13" fillId="0" borderId="1" xfId="8" applyNumberFormat="1" applyFont="1" applyBorder="1"/>
    <xf numFmtId="0" fontId="13" fillId="0" borderId="0" xfId="8" applyFont="1"/>
    <xf numFmtId="0" fontId="12" fillId="0" borderId="1" xfId="5" applyFont="1" applyBorder="1" applyProtection="1">
      <protection locked="0"/>
    </xf>
    <xf numFmtId="0" fontId="13" fillId="0" borderId="0" xfId="8" applyFont="1" applyAlignment="1">
      <alignment horizontal="right"/>
    </xf>
    <xf numFmtId="41" fontId="13" fillId="0" borderId="0" xfId="8" applyNumberFormat="1" applyFont="1"/>
    <xf numFmtId="0" fontId="13" fillId="0" borderId="1" xfId="8" applyFont="1" applyBorder="1"/>
    <xf numFmtId="17" fontId="13" fillId="0" borderId="1" xfId="8" applyNumberFormat="1" applyFont="1" applyBorder="1" applyAlignment="1">
      <alignment horizontal="left"/>
    </xf>
    <xf numFmtId="0" fontId="13" fillId="0" borderId="3" xfId="8" applyFont="1" applyBorder="1"/>
    <xf numFmtId="0" fontId="19" fillId="3" borderId="38" xfId="8" applyFont="1" applyFill="1" applyBorder="1" applyAlignment="1">
      <alignment vertical="center" wrapText="1"/>
    </xf>
    <xf numFmtId="41" fontId="12" fillId="0" borderId="0" xfId="8" applyNumberFormat="1" applyFont="1" applyAlignment="1">
      <alignment horizontal="right"/>
    </xf>
    <xf numFmtId="42" fontId="12" fillId="0" borderId="1" xfId="8" applyNumberFormat="1" applyFont="1" applyBorder="1" applyAlignment="1">
      <alignment horizontal="right"/>
    </xf>
    <xf numFmtId="0" fontId="13" fillId="0" borderId="1" xfId="8" applyFont="1" applyBorder="1" applyAlignment="1">
      <alignment wrapText="1"/>
    </xf>
    <xf numFmtId="0" fontId="13" fillId="2" borderId="1" xfId="8" applyFont="1" applyFill="1" applyBorder="1"/>
    <xf numFmtId="42" fontId="12" fillId="0" borderId="1" xfId="8" applyNumberFormat="1" applyFont="1" applyBorder="1"/>
    <xf numFmtId="0" fontId="15" fillId="2" borderId="0" xfId="8" applyFont="1" applyFill="1" applyAlignment="1">
      <alignment horizontal="right"/>
    </xf>
    <xf numFmtId="0" fontId="15" fillId="2" borderId="1" xfId="8" applyFont="1" applyFill="1" applyBorder="1"/>
    <xf numFmtId="0" fontId="15" fillId="2" borderId="0" xfId="8" applyFont="1" applyFill="1"/>
    <xf numFmtId="42" fontId="15" fillId="2" borderId="1" xfId="8" applyNumberFormat="1" applyFont="1" applyFill="1" applyBorder="1"/>
    <xf numFmtId="167" fontId="13" fillId="2" borderId="0" xfId="8" applyNumberFormat="1" applyFont="1" applyFill="1"/>
    <xf numFmtId="167" fontId="16" fillId="2" borderId="0" xfId="8" applyNumberFormat="1" applyFont="1" applyFill="1"/>
    <xf numFmtId="0" fontId="17" fillId="2" borderId="0" xfId="8" applyFont="1" applyFill="1" applyAlignment="1">
      <alignment horizontal="right"/>
    </xf>
    <xf numFmtId="0" fontId="20" fillId="2" borderId="0" xfId="8" applyFont="1" applyFill="1"/>
    <xf numFmtId="0" fontId="13" fillId="3" borderId="0" xfId="8" applyFont="1" applyFill="1"/>
    <xf numFmtId="49" fontId="15" fillId="7" borderId="8" xfId="8" applyNumberFormat="1" applyFont="1" applyFill="1" applyBorder="1" applyAlignment="1">
      <alignment horizontal="center"/>
    </xf>
    <xf numFmtId="49" fontId="15" fillId="3" borderId="7" xfId="8" applyNumberFormat="1" applyFont="1" applyFill="1" applyBorder="1" applyAlignment="1">
      <alignment horizontal="center"/>
    </xf>
    <xf numFmtId="0" fontId="14" fillId="7" borderId="1" xfId="8" applyFont="1" applyFill="1" applyBorder="1" applyAlignment="1">
      <alignment vertical="center"/>
    </xf>
    <xf numFmtId="0" fontId="15" fillId="7" borderId="12" xfId="8" applyFont="1" applyFill="1" applyBorder="1" applyAlignment="1">
      <alignment horizontal="center"/>
    </xf>
    <xf numFmtId="17" fontId="15" fillId="7" borderId="12" xfId="8" quotePrefix="1" applyNumberFormat="1" applyFont="1" applyFill="1" applyBorder="1" applyAlignment="1">
      <alignment horizontal="center"/>
    </xf>
    <xf numFmtId="49" fontId="15" fillId="7" borderId="12" xfId="8" applyNumberFormat="1" applyFont="1" applyFill="1" applyBorder="1" applyAlignment="1">
      <alignment horizontal="center"/>
    </xf>
    <xf numFmtId="42" fontId="13" fillId="2" borderId="1" xfId="8" applyNumberFormat="1" applyFont="1" applyFill="1" applyBorder="1"/>
    <xf numFmtId="42" fontId="13" fillId="3" borderId="7" xfId="8" applyNumberFormat="1" applyFont="1" applyFill="1" applyBorder="1"/>
    <xf numFmtId="0" fontId="13" fillId="2" borderId="7" xfId="8" applyFont="1" applyFill="1" applyBorder="1"/>
    <xf numFmtId="0" fontId="13" fillId="0" borderId="9" xfId="8" applyFont="1" applyBorder="1"/>
    <xf numFmtId="165" fontId="13" fillId="0" borderId="1" xfId="9" applyNumberFormat="1" applyFont="1" applyBorder="1"/>
    <xf numFmtId="0" fontId="15" fillId="3" borderId="0" xfId="8" applyFont="1" applyFill="1"/>
    <xf numFmtId="42" fontId="15" fillId="3" borderId="0" xfId="8" applyNumberFormat="1" applyFont="1" applyFill="1"/>
    <xf numFmtId="42" fontId="15" fillId="2" borderId="0" xfId="8" applyNumberFormat="1" applyFont="1" applyFill="1"/>
    <xf numFmtId="169" fontId="15" fillId="2" borderId="0" xfId="8" applyNumberFormat="1" applyFont="1" applyFill="1"/>
    <xf numFmtId="42" fontId="13" fillId="2" borderId="0" xfId="8" applyNumberFormat="1" applyFont="1" applyFill="1"/>
    <xf numFmtId="0" fontId="15" fillId="2" borderId="0" xfId="5" applyFont="1" applyFill="1"/>
    <xf numFmtId="7" fontId="15" fillId="2" borderId="0" xfId="5" applyNumberFormat="1" applyFont="1" applyFill="1"/>
    <xf numFmtId="5" fontId="15" fillId="2" borderId="0" xfId="5" applyNumberFormat="1" applyFont="1" applyFill="1"/>
    <xf numFmtId="167" fontId="15" fillId="2" borderId="0" xfId="5" applyNumberFormat="1" applyFont="1" applyFill="1"/>
    <xf numFmtId="42" fontId="15" fillId="2" borderId="0" xfId="5" applyNumberFormat="1" applyFont="1" applyFill="1"/>
    <xf numFmtId="0" fontId="15" fillId="2" borderId="106" xfId="5" applyFont="1" applyFill="1" applyBorder="1"/>
    <xf numFmtId="167" fontId="15" fillId="2" borderId="106" xfId="5" applyNumberFormat="1" applyFont="1" applyFill="1" applyBorder="1"/>
    <xf numFmtId="0" fontId="0" fillId="0" borderId="0" xfId="0" quotePrefix="1"/>
    <xf numFmtId="0" fontId="23" fillId="0" borderId="0" xfId="0" applyFont="1"/>
    <xf numFmtId="0" fontId="23" fillId="0" borderId="0" xfId="0" applyFont="1" applyAlignment="1">
      <alignment horizontal="center"/>
    </xf>
    <xf numFmtId="0" fontId="23" fillId="0" borderId="107" xfId="0" applyFont="1" applyBorder="1"/>
    <xf numFmtId="0" fontId="23" fillId="0" borderId="107" xfId="0" applyFont="1" applyBorder="1" applyAlignment="1">
      <alignment horizontal="center"/>
    </xf>
    <xf numFmtId="165" fontId="23" fillId="5" borderId="0" xfId="0" applyNumberFormat="1" applyFont="1" applyFill="1"/>
    <xf numFmtId="41" fontId="20" fillId="0" borderId="0" xfId="0" applyNumberFormat="1" applyFont="1"/>
    <xf numFmtId="0" fontId="36" fillId="0" borderId="0" xfId="0" applyFont="1"/>
    <xf numFmtId="0" fontId="37" fillId="7" borderId="0" xfId="0" applyFont="1" applyFill="1" applyAlignment="1">
      <alignment horizontal="center"/>
    </xf>
    <xf numFmtId="166" fontId="38" fillId="0" borderId="0" xfId="2" applyNumberFormat="1" applyFont="1" applyFill="1" applyAlignment="1">
      <alignment horizontal="center"/>
    </xf>
    <xf numFmtId="166" fontId="38" fillId="0" borderId="26" xfId="2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  <xf numFmtId="0" fontId="12" fillId="0" borderId="0" xfId="4" applyAlignment="1">
      <alignment vertical="top" wrapText="1"/>
    </xf>
    <xf numFmtId="0" fontId="12" fillId="0" borderId="0" xfId="4" applyAlignment="1">
      <alignment horizontal="left" vertical="top" wrapText="1"/>
    </xf>
    <xf numFmtId="0" fontId="12" fillId="0" borderId="0" xfId="4" applyAlignment="1">
      <alignment wrapText="1"/>
    </xf>
    <xf numFmtId="43" fontId="39" fillId="0" borderId="0" xfId="7" applyNumberFormat="1" applyFont="1"/>
    <xf numFmtId="17" fontId="13" fillId="0" borderId="1" xfId="8" applyNumberFormat="1" applyFont="1" applyBorder="1" applyAlignment="1">
      <alignment horizontal="left" wrapText="1"/>
    </xf>
    <xf numFmtId="0" fontId="12" fillId="0" borderId="1" xfId="5" applyFont="1" applyBorder="1" applyAlignment="1" applyProtection="1">
      <alignment wrapText="1"/>
      <protection locked="0"/>
    </xf>
    <xf numFmtId="42" fontId="12" fillId="0" borderId="1" xfId="8" applyNumberFormat="1" applyFont="1" applyBorder="1" applyAlignment="1">
      <alignment vertical="center"/>
    </xf>
    <xf numFmtId="2" fontId="19" fillId="2" borderId="67" xfId="10" applyNumberFormat="1" applyFont="1" applyFill="1" applyBorder="1" applyAlignment="1">
      <alignment horizontal="center" vertical="center"/>
    </xf>
    <xf numFmtId="0" fontId="19" fillId="3" borderId="60" xfId="10" applyFont="1" applyFill="1" applyBorder="1" applyAlignment="1">
      <alignment vertical="center"/>
    </xf>
    <xf numFmtId="42" fontId="19" fillId="2" borderId="60" xfId="7" applyNumberFormat="1" applyFont="1" applyFill="1" applyBorder="1" applyAlignment="1">
      <alignment horizontal="center" vertical="center"/>
    </xf>
    <xf numFmtId="2" fontId="19" fillId="2" borderId="90" xfId="10" applyNumberFormat="1" applyFont="1" applyFill="1" applyBorder="1" applyAlignment="1">
      <alignment horizontal="center" vertical="center"/>
    </xf>
    <xf numFmtId="0" fontId="19" fillId="3" borderId="90" xfId="10" applyFont="1" applyFill="1" applyBorder="1" applyAlignment="1">
      <alignment vertical="center"/>
    </xf>
    <xf numFmtId="42" fontId="19" fillId="2" borderId="90" xfId="7" applyNumberFormat="1" applyFont="1" applyFill="1" applyBorder="1" applyAlignment="1">
      <alignment horizontal="center" vertical="center"/>
    </xf>
    <xf numFmtId="0" fontId="12" fillId="0" borderId="1" xfId="5" applyFont="1" applyBorder="1" applyAlignment="1" applyProtection="1">
      <alignment vertical="top" wrapText="1"/>
      <protection locked="0"/>
    </xf>
    <xf numFmtId="42" fontId="34" fillId="3" borderId="90" xfId="7" applyNumberFormat="1" applyFont="1" applyFill="1" applyBorder="1" applyAlignment="1">
      <alignment horizontal="center" vertical="center"/>
    </xf>
    <xf numFmtId="42" fontId="34" fillId="3" borderId="35" xfId="7" applyNumberFormat="1" applyFont="1" applyFill="1" applyBorder="1" applyAlignment="1">
      <alignment horizontal="center" vertical="center"/>
    </xf>
    <xf numFmtId="0" fontId="19" fillId="3" borderId="35" xfId="10" applyFont="1" applyFill="1" applyBorder="1" applyAlignment="1">
      <alignment vertical="center"/>
    </xf>
    <xf numFmtId="43" fontId="40" fillId="0" borderId="0" xfId="7" applyNumberFormat="1" applyFont="1"/>
    <xf numFmtId="42" fontId="19" fillId="0" borderId="90" xfId="7" applyNumberFormat="1" applyFont="1" applyBorder="1" applyAlignment="1">
      <alignment horizontal="center" vertical="center"/>
    </xf>
    <xf numFmtId="0" fontId="19" fillId="3" borderId="38" xfId="10" applyFont="1" applyFill="1" applyBorder="1" applyAlignment="1">
      <alignment vertical="center" wrapText="1"/>
    </xf>
    <xf numFmtId="42" fontId="19" fillId="3" borderId="90" xfId="7" applyNumberFormat="1" applyFont="1" applyFill="1" applyBorder="1" applyAlignment="1">
      <alignment horizontal="center" vertical="center"/>
    </xf>
    <xf numFmtId="0" fontId="19" fillId="3" borderId="90" xfId="10" applyFont="1" applyFill="1" applyBorder="1" applyAlignment="1">
      <alignment vertical="center" wrapText="1"/>
    </xf>
    <xf numFmtId="0" fontId="34" fillId="3" borderId="90" xfId="10" applyFont="1" applyFill="1" applyBorder="1" applyAlignment="1">
      <alignment vertical="center"/>
    </xf>
    <xf numFmtId="0" fontId="19" fillId="3" borderId="86" xfId="10" applyFont="1" applyFill="1" applyBorder="1" applyAlignment="1">
      <alignment vertical="center"/>
    </xf>
    <xf numFmtId="2" fontId="19" fillId="2" borderId="19" xfId="10" applyNumberFormat="1" applyFont="1" applyFill="1" applyBorder="1" applyAlignment="1">
      <alignment horizontal="center" vertical="center"/>
    </xf>
    <xf numFmtId="44" fontId="34" fillId="3" borderId="1" xfId="7" applyNumberFormat="1" applyFont="1" applyFill="1" applyBorder="1" applyAlignment="1">
      <alignment horizontal="center" vertical="center"/>
    </xf>
    <xf numFmtId="0" fontId="22" fillId="2" borderId="0" xfId="8" applyFont="1" applyFill="1" applyAlignment="1">
      <alignment horizontal="right"/>
    </xf>
    <xf numFmtId="0" fontId="19" fillId="2" borderId="1" xfId="7" applyFont="1" applyFill="1" applyBorder="1" applyAlignment="1">
      <alignment horizontal="center" vertical="center"/>
    </xf>
    <xf numFmtId="42" fontId="13" fillId="0" borderId="1" xfId="10" applyNumberFormat="1" applyFont="1" applyBorder="1"/>
    <xf numFmtId="42" fontId="13" fillId="2" borderId="1" xfId="10" applyNumberFormat="1" applyFont="1" applyFill="1" applyBorder="1"/>
    <xf numFmtId="0" fontId="19" fillId="3" borderId="5" xfId="10" applyFont="1" applyFill="1" applyBorder="1" applyAlignment="1">
      <alignment vertical="center"/>
    </xf>
    <xf numFmtId="0" fontId="41" fillId="2" borderId="1" xfId="10" applyFont="1" applyFill="1" applyBorder="1" applyAlignment="1">
      <alignment horizontal="center"/>
    </xf>
    <xf numFmtId="0" fontId="13" fillId="0" borderId="1" xfId="10" applyFont="1" applyBorder="1"/>
    <xf numFmtId="0" fontId="13" fillId="2" borderId="1" xfId="8" applyFont="1" applyFill="1" applyBorder="1" applyAlignment="1">
      <alignment vertical="top" wrapText="1"/>
    </xf>
    <xf numFmtId="0" fontId="22" fillId="2" borderId="0" xfId="8" applyFont="1" applyFill="1" applyAlignment="1">
      <alignment horizontal="left" vertical="top"/>
    </xf>
    <xf numFmtId="43" fontId="13" fillId="2" borderId="0" xfId="5" applyNumberFormat="1" applyFont="1" applyFill="1"/>
    <xf numFmtId="0" fontId="14" fillId="2" borderId="0" xfId="10" applyFont="1" applyFill="1"/>
    <xf numFmtId="0" fontId="23" fillId="0" borderId="0" xfId="10" applyFont="1"/>
    <xf numFmtId="0" fontId="14" fillId="2" borderId="84" xfId="10" applyFont="1" applyFill="1" applyBorder="1"/>
    <xf numFmtId="0" fontId="2" fillId="2" borderId="0" xfId="4" applyFont="1" applyFill="1"/>
    <xf numFmtId="0" fontId="3" fillId="2" borderId="0" xfId="4" applyFont="1" applyFill="1"/>
    <xf numFmtId="0" fontId="2" fillId="3" borderId="0" xfId="4" applyFont="1" applyFill="1"/>
    <xf numFmtId="165" fontId="2" fillId="3" borderId="0" xfId="9" applyNumberFormat="1" applyFont="1" applyFill="1"/>
    <xf numFmtId="165" fontId="0" fillId="0" borderId="0" xfId="9" applyNumberFormat="1" applyFont="1"/>
    <xf numFmtId="0" fontId="12" fillId="3" borderId="0" xfId="4" applyFill="1"/>
    <xf numFmtId="166" fontId="12" fillId="3" borderId="0" xfId="3" applyNumberFormat="1" applyFont="1" applyFill="1"/>
    <xf numFmtId="0" fontId="3" fillId="2" borderId="0" xfId="4" applyFont="1" applyFill="1" applyAlignment="1">
      <alignment horizontal="center"/>
    </xf>
    <xf numFmtId="0" fontId="3" fillId="3" borderId="0" xfId="4" applyFont="1" applyFill="1" applyAlignment="1">
      <alignment horizontal="center"/>
    </xf>
    <xf numFmtId="165" fontId="3" fillId="3" borderId="0" xfId="9" applyNumberFormat="1" applyFont="1" applyFill="1" applyAlignment="1">
      <alignment horizontal="center"/>
    </xf>
    <xf numFmtId="0" fontId="3" fillId="4" borderId="49" xfId="4" applyFont="1" applyFill="1" applyBorder="1" applyAlignment="1">
      <alignment horizontal="center"/>
    </xf>
    <xf numFmtId="165" fontId="3" fillId="4" borderId="49" xfId="9" applyNumberFormat="1" applyFont="1" applyFill="1" applyBorder="1" applyAlignment="1">
      <alignment horizontal="center"/>
    </xf>
    <xf numFmtId="43" fontId="3" fillId="5" borderId="50" xfId="4" applyNumberFormat="1" applyFont="1" applyFill="1" applyBorder="1" applyAlignment="1">
      <alignment horizontal="center"/>
    </xf>
    <xf numFmtId="166" fontId="3" fillId="5" borderId="83" xfId="3" applyNumberFormat="1" applyFont="1" applyFill="1" applyBorder="1" applyAlignment="1">
      <alignment horizontal="center"/>
    </xf>
    <xf numFmtId="43" fontId="2" fillId="3" borderId="0" xfId="4" applyNumberFormat="1" applyFont="1" applyFill="1"/>
    <xf numFmtId="166" fontId="2" fillId="3" borderId="0" xfId="3" applyNumberFormat="1" applyFont="1" applyFill="1"/>
    <xf numFmtId="0" fontId="2" fillId="2" borderId="60" xfId="4" applyFont="1" applyFill="1" applyBorder="1"/>
    <xf numFmtId="165" fontId="2" fillId="3" borderId="60" xfId="9" applyNumberFormat="1" applyFont="1" applyFill="1" applyBorder="1"/>
    <xf numFmtId="165" fontId="2" fillId="5" borderId="62" xfId="9" applyNumberFormat="1" applyFont="1" applyFill="1" applyBorder="1"/>
    <xf numFmtId="166" fontId="2" fillId="5" borderId="63" xfId="3" applyNumberFormat="1" applyFont="1" applyFill="1" applyBorder="1"/>
    <xf numFmtId="0" fontId="3" fillId="2" borderId="37" xfId="4" applyFont="1" applyFill="1" applyBorder="1"/>
    <xf numFmtId="0" fontId="3" fillId="3" borderId="0" xfId="4" applyFont="1" applyFill="1"/>
    <xf numFmtId="165" fontId="3" fillId="2" borderId="37" xfId="9" applyNumberFormat="1" applyFont="1" applyFill="1" applyBorder="1"/>
    <xf numFmtId="165" fontId="2" fillId="5" borderId="76" xfId="9" applyNumberFormat="1" applyFont="1" applyFill="1" applyBorder="1"/>
    <xf numFmtId="166" fontId="2" fillId="5" borderId="78" xfId="3" applyNumberFormat="1" applyFont="1" applyFill="1" applyBorder="1"/>
    <xf numFmtId="0" fontId="2" fillId="2" borderId="37" xfId="4" applyFont="1" applyFill="1" applyBorder="1"/>
    <xf numFmtId="165" fontId="2" fillId="3" borderId="37" xfId="9" applyNumberFormat="1" applyFont="1" applyFill="1" applyBorder="1"/>
    <xf numFmtId="165" fontId="2" fillId="2" borderId="37" xfId="9" applyNumberFormat="1" applyFont="1" applyFill="1" applyBorder="1"/>
    <xf numFmtId="165" fontId="3" fillId="5" borderId="76" xfId="3" applyNumberFormat="1" applyFont="1" applyFill="1" applyBorder="1"/>
    <xf numFmtId="166" fontId="3" fillId="5" borderId="78" xfId="3" applyNumberFormat="1" applyFont="1" applyFill="1" applyBorder="1"/>
    <xf numFmtId="0" fontId="2" fillId="2" borderId="38" xfId="4" applyFont="1" applyFill="1" applyBorder="1"/>
    <xf numFmtId="165" fontId="2" fillId="3" borderId="38" xfId="9" applyNumberFormat="1" applyFont="1" applyFill="1" applyBorder="1"/>
    <xf numFmtId="165" fontId="2" fillId="5" borderId="81" xfId="9" applyNumberFormat="1" applyFont="1" applyFill="1" applyBorder="1"/>
    <xf numFmtId="166" fontId="2" fillId="5" borderId="79" xfId="3" applyNumberFormat="1" applyFont="1" applyFill="1" applyBorder="1"/>
    <xf numFmtId="165" fontId="3" fillId="2" borderId="67" xfId="9" applyNumberFormat="1" applyFont="1" applyFill="1" applyBorder="1"/>
    <xf numFmtId="165" fontId="3" fillId="5" borderId="76" xfId="9" applyNumberFormat="1" applyFont="1" applyFill="1" applyBorder="1"/>
    <xf numFmtId="165" fontId="2" fillId="5" borderId="76" xfId="3" applyNumberFormat="1" applyFont="1" applyFill="1" applyBorder="1"/>
    <xf numFmtId="165" fontId="2" fillId="0" borderId="37" xfId="9" applyNumberFormat="1" applyFont="1" applyFill="1" applyBorder="1"/>
    <xf numFmtId="165" fontId="2" fillId="0" borderId="38" xfId="9" applyNumberFormat="1" applyFont="1" applyFill="1" applyBorder="1"/>
    <xf numFmtId="165" fontId="2" fillId="3" borderId="64" xfId="9" applyNumberFormat="1" applyFont="1" applyFill="1" applyBorder="1"/>
    <xf numFmtId="165" fontId="2" fillId="3" borderId="75" xfId="9" applyNumberFormat="1" applyFont="1" applyFill="1" applyBorder="1"/>
    <xf numFmtId="0" fontId="3" fillId="2" borderId="61" xfId="4" applyFont="1" applyFill="1" applyBorder="1"/>
    <xf numFmtId="165" fontId="3" fillId="2" borderId="59" xfId="9" applyNumberFormat="1" applyFont="1" applyFill="1" applyBorder="1"/>
    <xf numFmtId="165" fontId="3" fillId="5" borderId="72" xfId="9" applyNumberFormat="1" applyFont="1" applyFill="1" applyBorder="1"/>
    <xf numFmtId="166" fontId="3" fillId="5" borderId="91" xfId="3" applyNumberFormat="1" applyFont="1" applyFill="1" applyBorder="1"/>
    <xf numFmtId="165" fontId="3" fillId="3" borderId="0" xfId="9" applyNumberFormat="1" applyFont="1" applyFill="1"/>
    <xf numFmtId="165" fontId="6" fillId="3" borderId="0" xfId="9" applyNumberFormat="1" applyFont="1" applyFill="1"/>
    <xf numFmtId="9" fontId="3" fillId="2" borderId="0" xfId="3" applyFont="1" applyFill="1"/>
    <xf numFmtId="166" fontId="3" fillId="2" borderId="0" xfId="3" applyNumberFormat="1" applyFont="1" applyFill="1"/>
    <xf numFmtId="0" fontId="6" fillId="2" borderId="0" xfId="4" applyFont="1" applyFill="1"/>
    <xf numFmtId="0" fontId="6" fillId="3" borderId="0" xfId="4" applyFont="1" applyFill="1"/>
    <xf numFmtId="166" fontId="2" fillId="3" borderId="0" xfId="3" applyNumberFormat="1" applyFont="1" applyFill="1" applyBorder="1"/>
    <xf numFmtId="0" fontId="3" fillId="4" borderId="49" xfId="4" applyFont="1" applyFill="1" applyBorder="1"/>
    <xf numFmtId="165" fontId="2" fillId="2" borderId="0" xfId="4" applyNumberFormat="1" applyFont="1" applyFill="1"/>
    <xf numFmtId="166" fontId="2" fillId="2" borderId="0" xfId="3" applyNumberFormat="1" applyFont="1" applyFill="1"/>
    <xf numFmtId="0" fontId="6" fillId="3" borderId="0" xfId="9" applyNumberFormat="1" applyFont="1" applyFill="1"/>
    <xf numFmtId="165" fontId="6" fillId="2" borderId="0" xfId="9" applyNumberFormat="1" applyFont="1" applyFill="1" applyBorder="1"/>
    <xf numFmtId="166" fontId="6" fillId="2" borderId="0" xfId="3" applyNumberFormat="1" applyFont="1" applyFill="1" applyBorder="1"/>
    <xf numFmtId="0" fontId="3" fillId="4" borderId="60" xfId="4" applyFont="1" applyFill="1" applyBorder="1"/>
    <xf numFmtId="166" fontId="3" fillId="5" borderId="49" xfId="3" applyNumberFormat="1" applyFont="1" applyFill="1" applyBorder="1" applyAlignment="1">
      <alignment horizontal="center"/>
    </xf>
    <xf numFmtId="165" fontId="2" fillId="3" borderId="67" xfId="9" applyNumberFormat="1" applyFont="1" applyFill="1" applyBorder="1"/>
    <xf numFmtId="165" fontId="2" fillId="5" borderId="69" xfId="9" applyNumberFormat="1" applyFont="1" applyFill="1" applyBorder="1"/>
    <xf numFmtId="166" fontId="2" fillId="5" borderId="37" xfId="3" applyNumberFormat="1" applyFont="1" applyFill="1" applyBorder="1"/>
    <xf numFmtId="165" fontId="2" fillId="5" borderId="65" xfId="9" applyNumberFormat="1" applyFont="1" applyFill="1" applyBorder="1"/>
    <xf numFmtId="166" fontId="2" fillId="5" borderId="38" xfId="3" applyNumberFormat="1" applyFont="1" applyFill="1" applyBorder="1"/>
    <xf numFmtId="0" fontId="3" fillId="2" borderId="64" xfId="4" applyFont="1" applyFill="1" applyBorder="1"/>
    <xf numFmtId="165" fontId="3" fillId="2" borderId="0" xfId="9" applyNumberFormat="1" applyFont="1" applyFill="1" applyBorder="1"/>
    <xf numFmtId="165" fontId="3" fillId="2" borderId="86" xfId="9" applyNumberFormat="1" applyFont="1" applyFill="1" applyBorder="1"/>
    <xf numFmtId="165" fontId="3" fillId="5" borderId="66" xfId="9" applyNumberFormat="1" applyFont="1" applyFill="1" applyBorder="1"/>
    <xf numFmtId="166" fontId="3" fillId="5" borderId="64" xfId="3" applyNumberFormat="1" applyFont="1" applyFill="1" applyBorder="1"/>
    <xf numFmtId="43" fontId="6" fillId="2" borderId="0" xfId="9" applyFont="1" applyFill="1"/>
    <xf numFmtId="166" fontId="6" fillId="2" borderId="0" xfId="3" applyNumberFormat="1" applyFont="1" applyFill="1"/>
    <xf numFmtId="43" fontId="3" fillId="2" borderId="0" xfId="4" applyNumberFormat="1" applyFont="1" applyFill="1" applyAlignment="1">
      <alignment horizontal="center"/>
    </xf>
    <xf numFmtId="166" fontId="3" fillId="2" borderId="0" xfId="3" applyNumberFormat="1" applyFont="1" applyFill="1" applyBorder="1" applyAlignment="1">
      <alignment horizontal="center"/>
    </xf>
    <xf numFmtId="0" fontId="2" fillId="2" borderId="67" xfId="4" applyFont="1" applyFill="1" applyBorder="1"/>
    <xf numFmtId="165" fontId="2" fillId="5" borderId="80" xfId="9" applyNumberFormat="1" applyFont="1" applyFill="1" applyBorder="1"/>
    <xf numFmtId="166" fontId="2" fillId="5" borderId="85" xfId="3" applyNumberFormat="1" applyFont="1" applyFill="1" applyBorder="1"/>
    <xf numFmtId="2" fontId="12" fillId="3" borderId="0" xfId="4" applyNumberFormat="1" applyFill="1"/>
    <xf numFmtId="165" fontId="3" fillId="2" borderId="64" xfId="9" applyNumberFormat="1" applyFont="1" applyFill="1" applyBorder="1"/>
    <xf numFmtId="165" fontId="2" fillId="5" borderId="72" xfId="9" applyNumberFormat="1" applyFont="1" applyFill="1" applyBorder="1"/>
    <xf numFmtId="165" fontId="6" fillId="2" borderId="0" xfId="9" applyNumberFormat="1" applyFont="1" applyFill="1"/>
    <xf numFmtId="165" fontId="3" fillId="2" borderId="0" xfId="4" applyNumberFormat="1" applyFont="1" applyFill="1" applyAlignment="1">
      <alignment horizontal="center"/>
    </xf>
    <xf numFmtId="0" fontId="3" fillId="2" borderId="49" xfId="4" applyFont="1" applyFill="1" applyBorder="1"/>
    <xf numFmtId="165" fontId="3" fillId="2" borderId="51" xfId="9" applyNumberFormat="1" applyFont="1" applyFill="1" applyBorder="1"/>
    <xf numFmtId="165" fontId="2" fillId="5" borderId="50" xfId="9" applyNumberFormat="1" applyFont="1" applyFill="1" applyBorder="1"/>
    <xf numFmtId="166" fontId="3" fillId="5" borderId="83" xfId="3" applyNumberFormat="1" applyFont="1" applyFill="1" applyBorder="1"/>
    <xf numFmtId="43" fontId="3" fillId="2" borderId="0" xfId="9" applyFont="1" applyFill="1" applyBorder="1"/>
    <xf numFmtId="166" fontId="3" fillId="2" borderId="0" xfId="3" applyNumberFormat="1" applyFont="1" applyFill="1" applyBorder="1"/>
    <xf numFmtId="43" fontId="3" fillId="3" borderId="0" xfId="4" applyNumberFormat="1" applyFont="1" applyFill="1"/>
    <xf numFmtId="166" fontId="3" fillId="3" borderId="0" xfId="3" applyNumberFormat="1" applyFont="1" applyFill="1" applyBorder="1" applyAlignment="1"/>
    <xf numFmtId="43" fontId="6" fillId="2" borderId="0" xfId="9" applyFont="1" applyFill="1" applyBorder="1"/>
    <xf numFmtId="165" fontId="3" fillId="2" borderId="71" xfId="9" applyNumberFormat="1" applyFont="1" applyFill="1" applyBorder="1"/>
    <xf numFmtId="165" fontId="3" fillId="5" borderId="50" xfId="9" applyNumberFormat="1" applyFont="1" applyFill="1" applyBorder="1"/>
    <xf numFmtId="0" fontId="2" fillId="2" borderId="35" xfId="4" applyFont="1" applyFill="1" applyBorder="1"/>
    <xf numFmtId="165" fontId="2" fillId="0" borderId="67" xfId="9" applyNumberFormat="1" applyFont="1" applyFill="1" applyBorder="1"/>
    <xf numFmtId="165" fontId="3" fillId="3" borderId="38" xfId="9" applyNumberFormat="1" applyFont="1" applyFill="1" applyBorder="1"/>
    <xf numFmtId="0" fontId="2" fillId="3" borderId="37" xfId="4" applyFont="1" applyFill="1" applyBorder="1"/>
    <xf numFmtId="0" fontId="2" fillId="2" borderId="74" xfId="4" applyFont="1" applyFill="1" applyBorder="1"/>
    <xf numFmtId="165" fontId="0" fillId="0" borderId="67" xfId="9" applyNumberFormat="1" applyFont="1" applyBorder="1"/>
    <xf numFmtId="43" fontId="2" fillId="5" borderId="76" xfId="9" applyFont="1" applyFill="1" applyBorder="1"/>
    <xf numFmtId="165" fontId="3" fillId="3" borderId="37" xfId="9" applyNumberFormat="1" applyFont="1" applyFill="1" applyBorder="1"/>
    <xf numFmtId="165" fontId="0" fillId="0" borderId="37" xfId="9" applyNumberFormat="1" applyFont="1" applyBorder="1"/>
    <xf numFmtId="0" fontId="2" fillId="2" borderId="75" xfId="4" applyFont="1" applyFill="1" applyBorder="1"/>
    <xf numFmtId="165" fontId="3" fillId="3" borderId="109" xfId="9" applyNumberFormat="1" applyFont="1" applyFill="1" applyBorder="1"/>
    <xf numFmtId="0" fontId="3" fillId="2" borderId="35" xfId="4" applyFont="1" applyFill="1" applyBorder="1"/>
    <xf numFmtId="165" fontId="3" fillId="2" borderId="77" xfId="9" applyNumberFormat="1" applyFont="1" applyFill="1" applyBorder="1"/>
    <xf numFmtId="165" fontId="3" fillId="2" borderId="61" xfId="9" applyNumberFormat="1" applyFont="1" applyFill="1" applyBorder="1"/>
    <xf numFmtId="166" fontId="2" fillId="5" borderId="91" xfId="3" applyNumberFormat="1" applyFont="1" applyFill="1" applyBorder="1"/>
    <xf numFmtId="166" fontId="0" fillId="0" borderId="0" xfId="3" applyNumberFormat="1" applyFont="1"/>
    <xf numFmtId="0" fontId="14" fillId="7" borderId="7" xfId="8" applyFont="1" applyFill="1" applyBorder="1" applyAlignment="1">
      <alignment horizontal="center"/>
    </xf>
    <xf numFmtId="2" fontId="19" fillId="2" borderId="67" xfId="8" applyNumberFormat="1" applyFont="1" applyFill="1" applyBorder="1" applyAlignment="1">
      <alignment horizontal="center" vertical="center"/>
    </xf>
    <xf numFmtId="0" fontId="13" fillId="2" borderId="110" xfId="8" applyFont="1" applyFill="1" applyBorder="1"/>
    <xf numFmtId="42" fontId="13" fillId="0" borderId="1" xfId="8" applyNumberFormat="1" applyFont="1" applyBorder="1" applyAlignment="1">
      <alignment horizontal="center" vertical="center"/>
    </xf>
    <xf numFmtId="0" fontId="12" fillId="0" borderId="1" xfId="4" applyBorder="1" applyProtection="1">
      <protection locked="0"/>
    </xf>
    <xf numFmtId="0" fontId="12" fillId="0" borderId="1" xfId="4" applyBorder="1" applyAlignment="1" applyProtection="1">
      <alignment wrapText="1"/>
      <protection locked="0"/>
    </xf>
    <xf numFmtId="0" fontId="19" fillId="3" borderId="86" xfId="8" applyFont="1" applyFill="1" applyBorder="1" applyAlignment="1">
      <alignment vertical="center"/>
    </xf>
    <xf numFmtId="0" fontId="13" fillId="0" borderId="107" xfId="8" applyFont="1" applyBorder="1"/>
    <xf numFmtId="2" fontId="19" fillId="2" borderId="19" xfId="8" applyNumberFormat="1" applyFont="1" applyFill="1" applyBorder="1" applyAlignment="1">
      <alignment horizontal="center" vertical="center"/>
    </xf>
    <xf numFmtId="0" fontId="12" fillId="0" borderId="0" xfId="4" applyAlignment="1" applyProtection="1">
      <alignment wrapText="1"/>
      <protection locked="0"/>
    </xf>
    <xf numFmtId="0" fontId="14" fillId="7" borderId="8" xfId="8" applyFont="1" applyFill="1" applyBorder="1" applyAlignment="1">
      <alignment vertical="center"/>
    </xf>
    <xf numFmtId="0" fontId="41" fillId="2" borderId="1" xfId="8" applyFont="1" applyFill="1" applyBorder="1" applyAlignment="1">
      <alignment horizontal="center"/>
    </xf>
    <xf numFmtId="0" fontId="13" fillId="2" borderId="0" xfId="4" applyFont="1" applyFill="1"/>
    <xf numFmtId="0" fontId="14" fillId="2" borderId="0" xfId="4" applyFont="1" applyFill="1"/>
    <xf numFmtId="0" fontId="14" fillId="8" borderId="0" xfId="4" applyFont="1" applyFill="1" applyAlignment="1">
      <alignment horizontal="center"/>
    </xf>
    <xf numFmtId="0" fontId="14" fillId="8" borderId="0" xfId="4" applyFont="1" applyFill="1"/>
    <xf numFmtId="167" fontId="14" fillId="2" borderId="0" xfId="4" applyNumberFormat="1" applyFont="1" applyFill="1"/>
    <xf numFmtId="167" fontId="14" fillId="0" borderId="0" xfId="4" applyNumberFormat="1" applyFont="1"/>
    <xf numFmtId="43" fontId="21" fillId="2" borderId="0" xfId="4" applyNumberFormat="1" applyFont="1" applyFill="1"/>
    <xf numFmtId="167" fontId="13" fillId="2" borderId="0" xfId="4" applyNumberFormat="1" applyFont="1" applyFill="1"/>
    <xf numFmtId="0" fontId="12" fillId="2" borderId="0" xfId="4" applyFill="1"/>
    <xf numFmtId="7" fontId="13" fillId="2" borderId="0" xfId="4" applyNumberFormat="1" applyFont="1" applyFill="1"/>
    <xf numFmtId="5" fontId="13" fillId="2" borderId="0" xfId="4" applyNumberFormat="1" applyFont="1" applyFill="1"/>
    <xf numFmtId="0" fontId="14" fillId="2" borderId="0" xfId="4" applyFont="1" applyFill="1" applyAlignment="1">
      <alignment horizontal="right"/>
    </xf>
    <xf numFmtId="0" fontId="14" fillId="2" borderId="84" xfId="4" applyFont="1" applyFill="1" applyBorder="1"/>
    <xf numFmtId="167" fontId="14" fillId="2" borderId="84" xfId="4" applyNumberFormat="1" applyFont="1" applyFill="1" applyBorder="1"/>
    <xf numFmtId="164" fontId="13" fillId="2" borderId="0" xfId="4" applyNumberFormat="1" applyFont="1" applyFill="1"/>
    <xf numFmtId="0" fontId="17" fillId="2" borderId="0" xfId="4" applyFont="1" applyFill="1" applyAlignment="1">
      <alignment horizontal="right"/>
    </xf>
    <xf numFmtId="0" fontId="22" fillId="2" borderId="0" xfId="4" applyFont="1" applyFill="1" applyAlignment="1">
      <alignment horizontal="right"/>
    </xf>
    <xf numFmtId="0" fontId="13" fillId="2" borderId="0" xfId="4" applyFont="1" applyFill="1" applyAlignment="1">
      <alignment horizontal="right"/>
    </xf>
    <xf numFmtId="0" fontId="19" fillId="0" borderId="0" xfId="4" applyFont="1" applyAlignment="1">
      <alignment vertical="center"/>
    </xf>
    <xf numFmtId="172" fontId="12" fillId="0" borderId="0" xfId="4" applyNumberFormat="1"/>
    <xf numFmtId="172" fontId="18" fillId="7" borderId="49" xfId="4" applyNumberFormat="1" applyFont="1" applyFill="1" applyBorder="1" applyAlignment="1">
      <alignment horizontal="center"/>
    </xf>
    <xf numFmtId="0" fontId="19" fillId="7" borderId="111" xfId="4" applyFont="1" applyFill="1" applyBorder="1"/>
    <xf numFmtId="0" fontId="19" fillId="7" borderId="107" xfId="4" applyFont="1" applyFill="1" applyBorder="1"/>
    <xf numFmtId="0" fontId="18" fillId="7" borderId="82" xfId="4" applyFont="1" applyFill="1" applyBorder="1" applyAlignment="1">
      <alignment vertical="center"/>
    </xf>
    <xf numFmtId="167" fontId="34" fillId="0" borderId="1" xfId="11" applyNumberFormat="1" applyFont="1" applyFill="1" applyBorder="1" applyAlignment="1">
      <alignment horizontal="center"/>
    </xf>
    <xf numFmtId="167" fontId="34" fillId="0" borderId="112" xfId="11" applyNumberFormat="1" applyFont="1" applyBorder="1" applyAlignment="1">
      <alignment horizontal="center"/>
    </xf>
    <xf numFmtId="0" fontId="34" fillId="0" borderId="71" xfId="4" applyFont="1" applyBorder="1" applyAlignment="1">
      <alignment horizontal="center"/>
    </xf>
    <xf numFmtId="0" fontId="34" fillId="0" borderId="66" xfId="4" applyFont="1" applyBorder="1" applyAlignment="1">
      <alignment vertical="center"/>
    </xf>
    <xf numFmtId="167" fontId="34" fillId="0" borderId="1" xfId="11" applyNumberFormat="1" applyFont="1" applyBorder="1" applyAlignment="1">
      <alignment horizontal="center"/>
    </xf>
    <xf numFmtId="0" fontId="34" fillId="0" borderId="1" xfId="4" applyFont="1" applyBorder="1" applyAlignment="1">
      <alignment horizontal="center"/>
    </xf>
    <xf numFmtId="0" fontId="34" fillId="0" borderId="65" xfId="4" applyFont="1" applyBorder="1" applyAlignment="1">
      <alignment vertical="center"/>
    </xf>
    <xf numFmtId="0" fontId="34" fillId="0" borderId="113" xfId="4" applyFont="1" applyBorder="1" applyAlignment="1">
      <alignment vertical="center"/>
    </xf>
    <xf numFmtId="0" fontId="34" fillId="0" borderId="114" xfId="4" applyFont="1" applyBorder="1" applyAlignment="1">
      <alignment horizontal="center"/>
    </xf>
    <xf numFmtId="0" fontId="18" fillId="0" borderId="83" xfId="4" applyFont="1" applyBorder="1" applyAlignment="1">
      <alignment horizontal="center"/>
    </xf>
    <xf numFmtId="0" fontId="18" fillId="0" borderId="49" xfId="4" applyFont="1" applyBorder="1" applyAlignment="1">
      <alignment horizontal="center"/>
    </xf>
    <xf numFmtId="0" fontId="18" fillId="0" borderId="49" xfId="4" applyFont="1" applyBorder="1" applyAlignment="1">
      <alignment vertical="center"/>
    </xf>
    <xf numFmtId="0" fontId="42" fillId="0" borderId="0" xfId="4" applyFont="1" applyAlignment="1">
      <alignment vertical="center"/>
    </xf>
    <xf numFmtId="167" fontId="19" fillId="3" borderId="108" xfId="11" applyNumberFormat="1" applyFont="1" applyFill="1" applyBorder="1" applyAlignment="1">
      <alignment horizontal="center"/>
    </xf>
    <xf numFmtId="167" fontId="34" fillId="3" borderId="112" xfId="11" applyNumberFormat="1" applyFont="1" applyFill="1" applyBorder="1"/>
    <xf numFmtId="0" fontId="19" fillId="0" borderId="107" xfId="4" applyFont="1" applyBorder="1" applyAlignment="1">
      <alignment horizontal="center"/>
    </xf>
    <xf numFmtId="0" fontId="19" fillId="0" borderId="115" xfId="4" applyFont="1" applyBorder="1" applyAlignment="1">
      <alignment vertical="center"/>
    </xf>
    <xf numFmtId="167" fontId="34" fillId="0" borderId="116" xfId="11" applyNumberFormat="1" applyFont="1" applyFill="1" applyBorder="1" applyAlignment="1">
      <alignment horizontal="center"/>
    </xf>
    <xf numFmtId="167" fontId="34" fillId="0" borderId="1" xfId="11" applyNumberFormat="1" applyFont="1" applyBorder="1"/>
    <xf numFmtId="0" fontId="34" fillId="0" borderId="117" xfId="4" applyFont="1" applyBorder="1" applyAlignment="1">
      <alignment vertical="center"/>
    </xf>
    <xf numFmtId="167" fontId="34" fillId="3" borderId="118" xfId="11" applyNumberFormat="1" applyFont="1" applyFill="1" applyBorder="1" applyAlignment="1">
      <alignment horizontal="center"/>
    </xf>
    <xf numFmtId="167" fontId="34" fillId="3" borderId="12" xfId="11" applyNumberFormat="1" applyFont="1" applyFill="1" applyBorder="1" applyAlignment="1">
      <alignment horizontal="center"/>
    </xf>
    <xf numFmtId="0" fontId="34" fillId="3" borderId="26" xfId="4" applyFont="1" applyFill="1" applyBorder="1" applyAlignment="1">
      <alignment horizontal="center"/>
    </xf>
    <xf numFmtId="0" fontId="34" fillId="3" borderId="94" xfId="4" applyFont="1" applyFill="1" applyBorder="1" applyAlignment="1">
      <alignment vertical="center"/>
    </xf>
    <xf numFmtId="0" fontId="43" fillId="0" borderId="0" xfId="4" applyFont="1"/>
    <xf numFmtId="0" fontId="19" fillId="7" borderId="83" xfId="4" applyFont="1" applyFill="1" applyBorder="1"/>
    <xf numFmtId="167" fontId="34" fillId="0" borderId="112" xfId="11" applyNumberFormat="1" applyFont="1" applyBorder="1"/>
    <xf numFmtId="0" fontId="34" fillId="0" borderId="105" xfId="4" applyFont="1" applyBorder="1"/>
    <xf numFmtId="0" fontId="34" fillId="0" borderId="119" xfId="4" applyFont="1" applyBorder="1" applyAlignment="1">
      <alignment vertical="center"/>
    </xf>
    <xf numFmtId="167" fontId="34" fillId="0" borderId="55" xfId="11" applyNumberFormat="1" applyFont="1" applyFill="1" applyBorder="1" applyAlignment="1">
      <alignment horizontal="center"/>
    </xf>
    <xf numFmtId="0" fontId="34" fillId="3" borderId="12" xfId="4" applyFont="1" applyFill="1" applyBorder="1" applyAlignment="1">
      <alignment horizontal="center"/>
    </xf>
    <xf numFmtId="0" fontId="34" fillId="0" borderId="94" xfId="4" applyFont="1" applyBorder="1" applyAlignment="1">
      <alignment vertical="center"/>
    </xf>
    <xf numFmtId="167" fontId="34" fillId="3" borderId="1" xfId="11" applyNumberFormat="1" applyFont="1" applyFill="1" applyBorder="1"/>
    <xf numFmtId="0" fontId="34" fillId="3" borderId="1" xfId="4" applyFont="1" applyFill="1" applyBorder="1" applyAlignment="1">
      <alignment horizontal="center"/>
    </xf>
    <xf numFmtId="0" fontId="34" fillId="3" borderId="7" xfId="4" applyFont="1" applyFill="1" applyBorder="1" applyAlignment="1">
      <alignment horizontal="center"/>
    </xf>
    <xf numFmtId="0" fontId="34" fillId="0" borderId="53" xfId="4" applyFont="1" applyBorder="1" applyAlignment="1">
      <alignment vertical="center"/>
    </xf>
    <xf numFmtId="167" fontId="34" fillId="3" borderId="1" xfId="11" applyNumberFormat="1" applyFont="1" applyFill="1" applyBorder="1" applyAlignment="1">
      <alignment horizontal="center"/>
    </xf>
    <xf numFmtId="37" fontId="0" fillId="0" borderId="0" xfId="0" applyNumberFormat="1"/>
    <xf numFmtId="0" fontId="36" fillId="0" borderId="0" xfId="0" applyFont="1" applyAlignment="1">
      <alignment horizontal="left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6" fillId="0" borderId="0" xfId="0" applyFont="1" applyAlignment="1">
      <alignment horizontal="left" vertical="top"/>
    </xf>
    <xf numFmtId="0" fontId="12" fillId="0" borderId="0" xfId="4" applyAlignment="1">
      <alignment vertical="center"/>
    </xf>
    <xf numFmtId="165" fontId="2" fillId="0" borderId="60" xfId="9" applyNumberFormat="1" applyFont="1" applyFill="1" applyBorder="1"/>
    <xf numFmtId="0" fontId="2" fillId="2" borderId="0" xfId="4" applyFont="1" applyFill="1" applyAlignment="1">
      <alignment vertical="center"/>
    </xf>
    <xf numFmtId="0" fontId="2" fillId="2" borderId="37" xfId="4" applyFont="1" applyFill="1" applyBorder="1" applyAlignment="1">
      <alignment vertical="center"/>
    </xf>
    <xf numFmtId="0" fontId="2" fillId="3" borderId="0" xfId="4" applyFont="1" applyFill="1" applyAlignment="1">
      <alignment vertical="center"/>
    </xf>
    <xf numFmtId="165" fontId="2" fillId="3" borderId="67" xfId="9" applyNumberFormat="1" applyFont="1" applyFill="1" applyBorder="1" applyAlignment="1">
      <alignment vertical="center"/>
    </xf>
    <xf numFmtId="0" fontId="12" fillId="3" borderId="0" xfId="4" applyFill="1" applyAlignment="1">
      <alignment vertical="center"/>
    </xf>
    <xf numFmtId="165" fontId="2" fillId="5" borderId="69" xfId="9" applyNumberFormat="1" applyFont="1" applyFill="1" applyBorder="1" applyAlignment="1">
      <alignment vertical="center"/>
    </xf>
    <xf numFmtId="166" fontId="2" fillId="5" borderId="37" xfId="3" applyNumberFormat="1" applyFont="1" applyFill="1" applyBorder="1" applyAlignment="1">
      <alignment vertical="center"/>
    </xf>
    <xf numFmtId="0" fontId="2" fillId="2" borderId="0" xfId="4" applyFont="1" applyFill="1" applyAlignment="1">
      <alignment horizontal="center" wrapText="1"/>
    </xf>
    <xf numFmtId="0" fontId="12" fillId="3" borderId="0" xfId="4" applyFill="1" applyAlignment="1">
      <alignment horizontal="center" wrapText="1"/>
    </xf>
    <xf numFmtId="0" fontId="12" fillId="0" borderId="0" xfId="4" applyAlignment="1">
      <alignment horizontal="center" wrapText="1"/>
    </xf>
    <xf numFmtId="0" fontId="2" fillId="3" borderId="0" xfId="4" applyFont="1" applyFill="1" applyAlignment="1">
      <alignment horizontal="center" vertical="center" wrapText="1"/>
    </xf>
    <xf numFmtId="165" fontId="2" fillId="3" borderId="37" xfId="9" applyNumberFormat="1" applyFont="1" applyFill="1" applyBorder="1" applyAlignment="1">
      <alignment horizontal="center" vertical="center" wrapText="1"/>
    </xf>
    <xf numFmtId="0" fontId="12" fillId="3" borderId="0" xfId="4" applyFill="1" applyAlignment="1">
      <alignment horizontal="center" vertical="center" wrapText="1"/>
    </xf>
    <xf numFmtId="165" fontId="2" fillId="5" borderId="69" xfId="9" applyNumberFormat="1" applyFont="1" applyFill="1" applyBorder="1" applyAlignment="1">
      <alignment horizontal="center" vertical="center" wrapText="1"/>
    </xf>
    <xf numFmtId="166" fontId="2" fillId="5" borderId="37" xfId="3" applyNumberFormat="1" applyFont="1" applyFill="1" applyBorder="1" applyAlignment="1">
      <alignment horizontal="center" vertical="center" wrapText="1"/>
    </xf>
    <xf numFmtId="166" fontId="2" fillId="5" borderId="37" xfId="3" applyNumberFormat="1" applyFont="1" applyFill="1" applyBorder="1" applyAlignment="1">
      <alignment horizontal="right" vertical="center" wrapText="1"/>
    </xf>
    <xf numFmtId="0" fontId="2" fillId="2" borderId="37" xfId="4" applyFont="1" applyFill="1" applyBorder="1" applyAlignment="1">
      <alignment horizontal="left" vertical="center" wrapText="1"/>
    </xf>
    <xf numFmtId="165" fontId="2" fillId="3" borderId="37" xfId="9" applyNumberFormat="1" applyFont="1" applyFill="1" applyBorder="1" applyAlignment="1">
      <alignment vertical="center"/>
    </xf>
    <xf numFmtId="0" fontId="2" fillId="2" borderId="67" xfId="4" applyFont="1" applyFill="1" applyBorder="1" applyAlignment="1">
      <alignment vertical="center"/>
    </xf>
    <xf numFmtId="165" fontId="2" fillId="5" borderId="80" xfId="9" applyNumberFormat="1" applyFont="1" applyFill="1" applyBorder="1" applyAlignment="1">
      <alignment vertical="center"/>
    </xf>
    <xf numFmtId="166" fontId="2" fillId="5" borderId="85" xfId="3" applyNumberFormat="1" applyFont="1" applyFill="1" applyBorder="1" applyAlignment="1">
      <alignment vertical="center"/>
    </xf>
    <xf numFmtId="165" fontId="2" fillId="5" borderId="76" xfId="9" applyNumberFormat="1" applyFont="1" applyFill="1" applyBorder="1" applyAlignment="1">
      <alignment vertical="center"/>
    </xf>
    <xf numFmtId="166" fontId="2" fillId="5" borderId="78" xfId="3" applyNumberFormat="1" applyFont="1" applyFill="1" applyBorder="1" applyAlignment="1">
      <alignment vertical="center"/>
    </xf>
    <xf numFmtId="0" fontId="2" fillId="3" borderId="0" xfId="4" applyFont="1" applyFill="1" applyAlignment="1">
      <alignment horizontal="right" vertical="center"/>
    </xf>
    <xf numFmtId="165" fontId="2" fillId="3" borderId="37" xfId="9" applyNumberFormat="1" applyFont="1" applyFill="1" applyBorder="1" applyAlignment="1">
      <alignment horizontal="right" vertical="center"/>
    </xf>
    <xf numFmtId="165" fontId="2" fillId="0" borderId="37" xfId="9" applyNumberFormat="1" applyFont="1" applyFill="1" applyBorder="1" applyAlignment="1">
      <alignment horizontal="right" vertical="center"/>
    </xf>
    <xf numFmtId="0" fontId="12" fillId="3" borderId="0" xfId="4" applyFill="1" applyAlignment="1">
      <alignment horizontal="right" vertical="center"/>
    </xf>
    <xf numFmtId="165" fontId="2" fillId="5" borderId="76" xfId="9" applyNumberFormat="1" applyFont="1" applyFill="1" applyBorder="1" applyAlignment="1">
      <alignment horizontal="right" vertical="center"/>
    </xf>
    <xf numFmtId="166" fontId="2" fillId="5" borderId="78" xfId="3" applyNumberFormat="1" applyFont="1" applyFill="1" applyBorder="1" applyAlignment="1">
      <alignment horizontal="right" vertical="center"/>
    </xf>
    <xf numFmtId="0" fontId="2" fillId="2" borderId="37" xfId="4" applyFont="1" applyFill="1" applyBorder="1" applyAlignment="1">
      <alignment horizontal="left" vertical="center"/>
    </xf>
    <xf numFmtId="43" fontId="3" fillId="4" borderId="3" xfId="0" applyNumberFormat="1" applyFont="1" applyFill="1" applyBorder="1" applyAlignment="1">
      <alignment horizontal="center"/>
    </xf>
    <xf numFmtId="43" fontId="3" fillId="4" borderId="5" xfId="0" applyNumberFormat="1" applyFont="1" applyFill="1" applyBorder="1" applyAlignment="1">
      <alignment horizontal="center"/>
    </xf>
    <xf numFmtId="0" fontId="14" fillId="7" borderId="8" xfId="8" applyFont="1" applyFill="1" applyBorder="1" applyAlignment="1">
      <alignment horizontal="center" vertical="center"/>
    </xf>
    <xf numFmtId="0" fontId="14" fillId="7" borderId="12" xfId="8" applyFont="1" applyFill="1" applyBorder="1" applyAlignment="1">
      <alignment horizontal="center" vertical="center"/>
    </xf>
    <xf numFmtId="0" fontId="14" fillId="8" borderId="0" xfId="5" applyFont="1" applyFill="1" applyAlignment="1">
      <alignment horizontal="center"/>
    </xf>
    <xf numFmtId="41" fontId="14" fillId="11" borderId="0" xfId="0" applyNumberFormat="1" applyFont="1" applyFill="1" applyAlignment="1">
      <alignment horizontal="center"/>
    </xf>
    <xf numFmtId="0" fontId="14" fillId="11" borderId="0" xfId="0" applyFont="1" applyFill="1" applyAlignment="1">
      <alignment horizontal="center"/>
    </xf>
    <xf numFmtId="0" fontId="14" fillId="7" borderId="7" xfId="8" applyFont="1" applyFill="1" applyBorder="1" applyAlignment="1">
      <alignment horizontal="center" vertical="center"/>
    </xf>
    <xf numFmtId="0" fontId="14" fillId="8" borderId="0" xfId="4" applyFont="1" applyFill="1" applyAlignment="1">
      <alignment horizontal="center"/>
    </xf>
    <xf numFmtId="0" fontId="12" fillId="0" borderId="0" xfId="4"/>
    <xf numFmtId="43" fontId="0" fillId="0" borderId="0" xfId="1" applyFont="1" applyAlignment="1">
      <alignment horizontal="center"/>
    </xf>
    <xf numFmtId="0" fontId="0" fillId="0" borderId="0" xfId="0" applyAlignment="1">
      <alignment horizontal="center"/>
    </xf>
    <xf numFmtId="43" fontId="0" fillId="0" borderId="0" xfId="0" applyNumberFormat="1" applyAlignment="1">
      <alignment horizontal="center"/>
    </xf>
    <xf numFmtId="43" fontId="23" fillId="0" borderId="0" xfId="1" applyFont="1" applyAlignment="1">
      <alignment horizontal="center"/>
    </xf>
    <xf numFmtId="0" fontId="23" fillId="0" borderId="0" xfId="1" applyNumberFormat="1" applyFont="1" applyAlignment="1">
      <alignment horizontal="center"/>
    </xf>
    <xf numFmtId="0" fontId="0" fillId="0" borderId="106" xfId="0" applyBorder="1"/>
    <xf numFmtId="43" fontId="0" fillId="0" borderId="106" xfId="1" applyFont="1" applyBorder="1" applyAlignment="1">
      <alignment horizontal="center"/>
    </xf>
    <xf numFmtId="165" fontId="0" fillId="0" borderId="28" xfId="1" applyNumberFormat="1" applyFont="1" applyBorder="1"/>
    <xf numFmtId="165" fontId="0" fillId="0" borderId="36" xfId="1" applyNumberFormat="1" applyFont="1" applyBorder="1"/>
    <xf numFmtId="165" fontId="0" fillId="0" borderId="9" xfId="1" applyNumberFormat="1" applyFont="1" applyBorder="1" applyAlignment="1">
      <alignment vertical="center"/>
    </xf>
    <xf numFmtId="165" fontId="0" fillId="0" borderId="0" xfId="1" applyNumberFormat="1" applyFont="1" applyBorder="1" applyAlignment="1">
      <alignment vertical="center"/>
    </xf>
    <xf numFmtId="9" fontId="0" fillId="0" borderId="0" xfId="2" applyFont="1" applyBorder="1" applyAlignment="1">
      <alignment vertical="center"/>
    </xf>
    <xf numFmtId="43" fontId="0" fillId="0" borderId="0" xfId="0" applyNumberFormat="1" applyAlignment="1">
      <alignment vertical="center"/>
    </xf>
    <xf numFmtId="9" fontId="0" fillId="0" borderId="9" xfId="2" applyFont="1" applyBorder="1" applyAlignment="1">
      <alignment vertical="center"/>
    </xf>
    <xf numFmtId="165" fontId="0" fillId="0" borderId="0" xfId="1" applyNumberFormat="1" applyFont="1"/>
    <xf numFmtId="0" fontId="23" fillId="0" borderId="28" xfId="0" applyFont="1" applyBorder="1"/>
    <xf numFmtId="0" fontId="0" fillId="0" borderId="36" xfId="0" applyBorder="1"/>
    <xf numFmtId="0" fontId="0" fillId="0" borderId="30" xfId="0" applyBorder="1"/>
    <xf numFmtId="0" fontId="23" fillId="0" borderId="13" xfId="0" applyFont="1" applyBorder="1"/>
    <xf numFmtId="0" fontId="0" fillId="0" borderId="26" xfId="0" applyBorder="1"/>
    <xf numFmtId="0" fontId="0" fillId="0" borderId="14" xfId="0" applyBorder="1"/>
    <xf numFmtId="0" fontId="44" fillId="0" borderId="0" xfId="0" applyFont="1"/>
    <xf numFmtId="0" fontId="44" fillId="0" borderId="0" xfId="0" applyFont="1" applyAlignment="1">
      <alignment horizontal="center"/>
    </xf>
    <xf numFmtId="0" fontId="19" fillId="0" borderId="0" xfId="0" applyFont="1"/>
    <xf numFmtId="0" fontId="42" fillId="0" borderId="0" xfId="0" applyFont="1"/>
    <xf numFmtId="0" fontId="45" fillId="0" borderId="0" xfId="0" applyFont="1"/>
    <xf numFmtId="0" fontId="47" fillId="0" borderId="0" xfId="0" applyFont="1"/>
    <xf numFmtId="0" fontId="41" fillId="0" borderId="38" xfId="10" applyFont="1" applyBorder="1" applyAlignment="1">
      <alignment vertical="center"/>
    </xf>
    <xf numFmtId="0" fontId="41" fillId="3" borderId="90" xfId="10" applyFont="1" applyFill="1" applyBorder="1" applyAlignment="1">
      <alignment vertical="center"/>
    </xf>
    <xf numFmtId="0" fontId="41" fillId="3" borderId="35" xfId="10" applyFont="1" applyFill="1" applyBorder="1" applyAlignment="1">
      <alignment vertical="center"/>
    </xf>
    <xf numFmtId="49" fontId="14" fillId="7" borderId="7" xfId="8" quotePrefix="1" applyNumberFormat="1" applyFont="1" applyFill="1" applyBorder="1" applyAlignment="1">
      <alignment horizontal="center"/>
    </xf>
    <xf numFmtId="49" fontId="14" fillId="7" borderId="7" xfId="8" applyNumberFormat="1" applyFont="1" applyFill="1" applyBorder="1" applyAlignment="1">
      <alignment horizontal="center"/>
    </xf>
    <xf numFmtId="0" fontId="13" fillId="2" borderId="90" xfId="8" applyFont="1" applyFill="1" applyBorder="1"/>
    <xf numFmtId="0" fontId="13" fillId="2" borderId="86" xfId="8" applyFont="1" applyFill="1" applyBorder="1"/>
    <xf numFmtId="0" fontId="19" fillId="3" borderId="90" xfId="7" applyFont="1" applyFill="1" applyBorder="1" applyAlignment="1">
      <alignment vertical="center"/>
    </xf>
    <xf numFmtId="0" fontId="13" fillId="0" borderId="90" xfId="8" applyFont="1" applyBorder="1"/>
    <xf numFmtId="0" fontId="15" fillId="2" borderId="86" xfId="8" applyFont="1" applyFill="1" applyBorder="1"/>
    <xf numFmtId="42" fontId="12" fillId="0" borderId="90" xfId="8" applyNumberFormat="1" applyFont="1" applyBorder="1" applyAlignment="1">
      <alignment horizontal="right"/>
    </xf>
    <xf numFmtId="42" fontId="13" fillId="0" borderId="90" xfId="8" applyNumberFormat="1" applyFont="1" applyBorder="1"/>
    <xf numFmtId="42" fontId="15" fillId="2" borderId="86" xfId="8" applyNumberFormat="1" applyFont="1" applyFill="1" applyBorder="1"/>
    <xf numFmtId="42" fontId="13" fillId="0" borderId="60" xfId="8" applyNumberFormat="1" applyFont="1" applyBorder="1"/>
    <xf numFmtId="42" fontId="12" fillId="0" borderId="90" xfId="8" applyNumberFormat="1" applyFont="1" applyBorder="1"/>
    <xf numFmtId="42" fontId="12" fillId="0" borderId="90" xfId="8" applyNumberFormat="1" applyFont="1" applyBorder="1" applyAlignment="1">
      <alignment vertical="center"/>
    </xf>
    <xf numFmtId="0" fontId="19" fillId="2" borderId="99" xfId="7" applyFont="1" applyFill="1" applyBorder="1" applyAlignment="1">
      <alignment horizontal="center" vertical="center"/>
    </xf>
    <xf numFmtId="0" fontId="19" fillId="2" borderId="65" xfId="7" applyFont="1" applyFill="1" applyBorder="1" applyAlignment="1">
      <alignment horizontal="center" vertical="center"/>
    </xf>
    <xf numFmtId="0" fontId="19" fillId="2" borderId="113" xfId="7" applyFont="1" applyFill="1" applyBorder="1" applyAlignment="1">
      <alignment horizontal="center" vertical="center"/>
    </xf>
    <xf numFmtId="0" fontId="13" fillId="2" borderId="3" xfId="8" applyFont="1" applyFill="1" applyBorder="1"/>
    <xf numFmtId="42" fontId="13" fillId="3" borderId="9" xfId="8" applyNumberFormat="1" applyFont="1" applyFill="1" applyBorder="1"/>
    <xf numFmtId="0" fontId="15" fillId="7" borderId="7" xfId="8" applyFont="1" applyFill="1" applyBorder="1" applyAlignment="1">
      <alignment horizontal="center"/>
    </xf>
    <xf numFmtId="17" fontId="15" fillId="7" borderId="7" xfId="8" quotePrefix="1" applyNumberFormat="1" applyFont="1" applyFill="1" applyBorder="1" applyAlignment="1">
      <alignment horizontal="center"/>
    </xf>
    <xf numFmtId="0" fontId="19" fillId="3" borderId="60" xfId="7" applyFont="1" applyFill="1" applyBorder="1" applyAlignment="1">
      <alignment vertical="center" wrapText="1"/>
    </xf>
    <xf numFmtId="0" fontId="19" fillId="0" borderId="90" xfId="7" applyFont="1" applyBorder="1" applyAlignment="1">
      <alignment vertical="center"/>
    </xf>
    <xf numFmtId="0" fontId="19" fillId="0" borderId="90" xfId="7" applyFont="1" applyBorder="1" applyAlignment="1">
      <alignment vertical="center" wrapText="1"/>
    </xf>
    <xf numFmtId="0" fontId="19" fillId="0" borderId="38" xfId="7" applyFont="1" applyBorder="1" applyAlignment="1">
      <alignment vertical="center"/>
    </xf>
    <xf numFmtId="42" fontId="13" fillId="2" borderId="60" xfId="8" applyNumberFormat="1" applyFont="1" applyFill="1" applyBorder="1"/>
    <xf numFmtId="42" fontId="13" fillId="2" borderId="90" xfId="8" applyNumberFormat="1" applyFont="1" applyFill="1" applyBorder="1"/>
    <xf numFmtId="165" fontId="13" fillId="0" borderId="90" xfId="9" applyNumberFormat="1" applyFont="1" applyBorder="1"/>
  </cellXfs>
  <cellStyles count="12">
    <cellStyle name="Comma" xfId="1" builtinId="3"/>
    <cellStyle name="Comma 2" xfId="6" xr:uid="{292FC7ED-9CF9-447F-89DF-F180B4D30086}"/>
    <cellStyle name="Comma 3" xfId="9" xr:uid="{1C1F1433-2CDA-477E-A619-DD6DB699B544}"/>
    <cellStyle name="Currency 2" xfId="11" xr:uid="{A860E437-C7E7-4C29-8A67-86D24F48E98D}"/>
    <cellStyle name="Normal" xfId="0" builtinId="0"/>
    <cellStyle name="Normal 2" xfId="4" xr:uid="{9516A526-B752-4DDE-BD7B-DD5004C0362D}"/>
    <cellStyle name="Normal 3" xfId="5" xr:uid="{996743E5-34B7-4154-80EA-BF6924F5544A}"/>
    <cellStyle name="Normal 3 2 2" xfId="7" xr:uid="{FD10D1FE-2181-49B5-9149-5EC4C04598B1}"/>
    <cellStyle name="Normal 5" xfId="8" xr:uid="{565D432A-14AD-4980-8BA0-61A70D2C1D01}"/>
    <cellStyle name="Normal 5 2" xfId="10" xr:uid="{238C08BA-03F7-4F42-B829-0F75AEF84E3C}"/>
    <cellStyle name="Percent" xfId="2" builtinId="5"/>
    <cellStyle name="Percent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8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3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6.xml"/><Relationship Id="rId37" Type="http://schemas.openxmlformats.org/officeDocument/2006/relationships/theme" Target="theme/theme1.xml"/><Relationship Id="rId40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36" Type="http://schemas.openxmlformats.org/officeDocument/2006/relationships/externalLink" Target="externalLinks/externalLink10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5.xml"/><Relationship Id="rId44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externalLink" Target="externalLinks/externalLink4.xml"/><Relationship Id="rId35" Type="http://schemas.openxmlformats.org/officeDocument/2006/relationships/externalLink" Target="externalLinks/externalLink9.xml"/><Relationship Id="rId43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7.xml"/><Relationship Id="rId38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cked"/>
        <c:varyColors val="0"/>
        <c:ser>
          <c:idx val="0"/>
          <c:order val="0"/>
          <c:cat>
            <c:strRef>
              <c:f>[9]Sheet1!$W$4:$FJ$4</c:f>
              <c:strCache>
                <c:ptCount val="144"/>
                <c:pt idx="0">
                  <c:v>Jan-08</c:v>
                </c:pt>
                <c:pt idx="1">
                  <c:v>Feb-08</c:v>
                </c:pt>
                <c:pt idx="2">
                  <c:v>Mar-08</c:v>
                </c:pt>
                <c:pt idx="3">
                  <c:v>Apr-08</c:v>
                </c:pt>
                <c:pt idx="4">
                  <c:v>May-08</c:v>
                </c:pt>
                <c:pt idx="5">
                  <c:v>Jun-08</c:v>
                </c:pt>
                <c:pt idx="6">
                  <c:v>Jul-08</c:v>
                </c:pt>
                <c:pt idx="7">
                  <c:v>Aug-08</c:v>
                </c:pt>
                <c:pt idx="8">
                  <c:v>Sep-08</c:v>
                </c:pt>
                <c:pt idx="9">
                  <c:v>Oct-08</c:v>
                </c:pt>
                <c:pt idx="10">
                  <c:v>Nov-08</c:v>
                </c:pt>
                <c:pt idx="11">
                  <c:v>Dec-08</c:v>
                </c:pt>
                <c:pt idx="12">
                  <c:v>Jan-09</c:v>
                </c:pt>
                <c:pt idx="13">
                  <c:v>Feb-09</c:v>
                </c:pt>
                <c:pt idx="14">
                  <c:v>Mar-09</c:v>
                </c:pt>
                <c:pt idx="15">
                  <c:v>Apr-09</c:v>
                </c:pt>
                <c:pt idx="16">
                  <c:v>May-09</c:v>
                </c:pt>
                <c:pt idx="17">
                  <c:v>Jun-09</c:v>
                </c:pt>
                <c:pt idx="18">
                  <c:v>Jul-09</c:v>
                </c:pt>
                <c:pt idx="19">
                  <c:v>Aug-09</c:v>
                </c:pt>
                <c:pt idx="20">
                  <c:v>Sep-09</c:v>
                </c:pt>
                <c:pt idx="21">
                  <c:v>Oct-09</c:v>
                </c:pt>
                <c:pt idx="22">
                  <c:v>Nov-09</c:v>
                </c:pt>
                <c:pt idx="23">
                  <c:v>Dec-09</c:v>
                </c:pt>
                <c:pt idx="24">
                  <c:v>Jan-10</c:v>
                </c:pt>
                <c:pt idx="25">
                  <c:v>Feb-10</c:v>
                </c:pt>
                <c:pt idx="26">
                  <c:v>Mar-10</c:v>
                </c:pt>
                <c:pt idx="27">
                  <c:v>Apr-10</c:v>
                </c:pt>
                <c:pt idx="28">
                  <c:v>May-10</c:v>
                </c:pt>
                <c:pt idx="29">
                  <c:v>Jun-10</c:v>
                </c:pt>
                <c:pt idx="30">
                  <c:v>Jul-10</c:v>
                </c:pt>
                <c:pt idx="31">
                  <c:v>Aug-10</c:v>
                </c:pt>
                <c:pt idx="32">
                  <c:v>Sep-10</c:v>
                </c:pt>
                <c:pt idx="33">
                  <c:v>Oct-10</c:v>
                </c:pt>
                <c:pt idx="34">
                  <c:v>Nov-10</c:v>
                </c:pt>
                <c:pt idx="35">
                  <c:v>Dec-10</c:v>
                </c:pt>
                <c:pt idx="36">
                  <c:v>Jan-11</c:v>
                </c:pt>
                <c:pt idx="37">
                  <c:v>Feb-11</c:v>
                </c:pt>
                <c:pt idx="38">
                  <c:v>Mar-11</c:v>
                </c:pt>
                <c:pt idx="39">
                  <c:v>Apr-11</c:v>
                </c:pt>
                <c:pt idx="40">
                  <c:v>May-11</c:v>
                </c:pt>
                <c:pt idx="41">
                  <c:v>Jun-11</c:v>
                </c:pt>
                <c:pt idx="42">
                  <c:v>Jul-11</c:v>
                </c:pt>
                <c:pt idx="43">
                  <c:v>Aug-11</c:v>
                </c:pt>
                <c:pt idx="44">
                  <c:v>Sep-11</c:v>
                </c:pt>
                <c:pt idx="45">
                  <c:v>Oct-11</c:v>
                </c:pt>
                <c:pt idx="46">
                  <c:v>Nov-11</c:v>
                </c:pt>
                <c:pt idx="47">
                  <c:v>Dec-11</c:v>
                </c:pt>
                <c:pt idx="48">
                  <c:v>Jan-12</c:v>
                </c:pt>
                <c:pt idx="49">
                  <c:v>Feb-12</c:v>
                </c:pt>
                <c:pt idx="50">
                  <c:v>Mar-12</c:v>
                </c:pt>
                <c:pt idx="51">
                  <c:v>Apr-12</c:v>
                </c:pt>
                <c:pt idx="52">
                  <c:v>May-12</c:v>
                </c:pt>
                <c:pt idx="53">
                  <c:v>Jun-12</c:v>
                </c:pt>
                <c:pt idx="54">
                  <c:v>Jul-12</c:v>
                </c:pt>
                <c:pt idx="55">
                  <c:v>Aug-12</c:v>
                </c:pt>
                <c:pt idx="56">
                  <c:v>Sep-12</c:v>
                </c:pt>
                <c:pt idx="57">
                  <c:v>Oct-12</c:v>
                </c:pt>
                <c:pt idx="58">
                  <c:v>Nov-12</c:v>
                </c:pt>
                <c:pt idx="59">
                  <c:v>Dec-12</c:v>
                </c:pt>
                <c:pt idx="60">
                  <c:v>Jan-13</c:v>
                </c:pt>
                <c:pt idx="61">
                  <c:v>Feb-13</c:v>
                </c:pt>
                <c:pt idx="62">
                  <c:v>Mar-13</c:v>
                </c:pt>
                <c:pt idx="63">
                  <c:v>Apr-13</c:v>
                </c:pt>
                <c:pt idx="64">
                  <c:v>May-13</c:v>
                </c:pt>
                <c:pt idx="65">
                  <c:v>Jun-13</c:v>
                </c:pt>
                <c:pt idx="66">
                  <c:v>Jul-13</c:v>
                </c:pt>
                <c:pt idx="67">
                  <c:v>Aug-13</c:v>
                </c:pt>
                <c:pt idx="68">
                  <c:v>Sep-13</c:v>
                </c:pt>
                <c:pt idx="69">
                  <c:v>Oct-13</c:v>
                </c:pt>
                <c:pt idx="70">
                  <c:v>Nov-13</c:v>
                </c:pt>
                <c:pt idx="71">
                  <c:v>Dec-13</c:v>
                </c:pt>
                <c:pt idx="72">
                  <c:v>Jaqn-14</c:v>
                </c:pt>
                <c:pt idx="73">
                  <c:v>Feb-14</c:v>
                </c:pt>
                <c:pt idx="74">
                  <c:v>Mar-14</c:v>
                </c:pt>
                <c:pt idx="75">
                  <c:v>Apr-14</c:v>
                </c:pt>
                <c:pt idx="76">
                  <c:v>May-14</c:v>
                </c:pt>
                <c:pt idx="77">
                  <c:v>Jun-14</c:v>
                </c:pt>
                <c:pt idx="78">
                  <c:v>Jul-14</c:v>
                </c:pt>
                <c:pt idx="79">
                  <c:v>Aug-14</c:v>
                </c:pt>
                <c:pt idx="80">
                  <c:v>Sep-14</c:v>
                </c:pt>
                <c:pt idx="81">
                  <c:v>Oct-14</c:v>
                </c:pt>
                <c:pt idx="82">
                  <c:v>Nov-14</c:v>
                </c:pt>
                <c:pt idx="83">
                  <c:v>Dec-14</c:v>
                </c:pt>
                <c:pt idx="84">
                  <c:v>Jan-15</c:v>
                </c:pt>
                <c:pt idx="85">
                  <c:v>Feb-15</c:v>
                </c:pt>
                <c:pt idx="86">
                  <c:v>Mar-15</c:v>
                </c:pt>
                <c:pt idx="87">
                  <c:v>Apr-15</c:v>
                </c:pt>
                <c:pt idx="88">
                  <c:v>May-15</c:v>
                </c:pt>
                <c:pt idx="89">
                  <c:v>Jun-15</c:v>
                </c:pt>
                <c:pt idx="90">
                  <c:v>Jul-15</c:v>
                </c:pt>
                <c:pt idx="91">
                  <c:v>Aug-15</c:v>
                </c:pt>
                <c:pt idx="92">
                  <c:v>Sep-15</c:v>
                </c:pt>
                <c:pt idx="93">
                  <c:v>Oct-15</c:v>
                </c:pt>
                <c:pt idx="94">
                  <c:v>Nov-15</c:v>
                </c:pt>
                <c:pt idx="95">
                  <c:v>Dec-15</c:v>
                </c:pt>
                <c:pt idx="96">
                  <c:v>Jan-16</c:v>
                </c:pt>
                <c:pt idx="97">
                  <c:v>Feb-16</c:v>
                </c:pt>
                <c:pt idx="98">
                  <c:v>Mar-16</c:v>
                </c:pt>
                <c:pt idx="99">
                  <c:v>Apr-16</c:v>
                </c:pt>
                <c:pt idx="100">
                  <c:v>May-16</c:v>
                </c:pt>
                <c:pt idx="101">
                  <c:v>Jun-16</c:v>
                </c:pt>
                <c:pt idx="102">
                  <c:v>Jul-16</c:v>
                </c:pt>
                <c:pt idx="103">
                  <c:v>Aug-16</c:v>
                </c:pt>
                <c:pt idx="104">
                  <c:v>Sep-16</c:v>
                </c:pt>
                <c:pt idx="105">
                  <c:v>Oct-16</c:v>
                </c:pt>
                <c:pt idx="106">
                  <c:v>Nov-16</c:v>
                </c:pt>
                <c:pt idx="107">
                  <c:v>Dec-16</c:v>
                </c:pt>
                <c:pt idx="108">
                  <c:v>42736</c:v>
                </c:pt>
                <c:pt idx="109">
                  <c:v>42767</c:v>
                </c:pt>
                <c:pt idx="110">
                  <c:v>42795</c:v>
                </c:pt>
                <c:pt idx="111">
                  <c:v>42826</c:v>
                </c:pt>
                <c:pt idx="112">
                  <c:v>42856</c:v>
                </c:pt>
                <c:pt idx="113">
                  <c:v>42887</c:v>
                </c:pt>
                <c:pt idx="114">
                  <c:v>42917</c:v>
                </c:pt>
                <c:pt idx="115">
                  <c:v>42948</c:v>
                </c:pt>
                <c:pt idx="116">
                  <c:v>42979</c:v>
                </c:pt>
                <c:pt idx="117">
                  <c:v>43009</c:v>
                </c:pt>
                <c:pt idx="118">
                  <c:v>43040</c:v>
                </c:pt>
                <c:pt idx="119">
                  <c:v>43070</c:v>
                </c:pt>
                <c:pt idx="120">
                  <c:v>43101</c:v>
                </c:pt>
                <c:pt idx="121">
                  <c:v>43132</c:v>
                </c:pt>
                <c:pt idx="122">
                  <c:v>43160</c:v>
                </c:pt>
                <c:pt idx="123">
                  <c:v>43191</c:v>
                </c:pt>
                <c:pt idx="124">
                  <c:v>43221</c:v>
                </c:pt>
                <c:pt idx="125">
                  <c:v>43252</c:v>
                </c:pt>
                <c:pt idx="126">
                  <c:v>43282</c:v>
                </c:pt>
                <c:pt idx="127">
                  <c:v>43313</c:v>
                </c:pt>
                <c:pt idx="128">
                  <c:v>43344</c:v>
                </c:pt>
                <c:pt idx="129">
                  <c:v>43374</c:v>
                </c:pt>
                <c:pt idx="130">
                  <c:v>43405</c:v>
                </c:pt>
                <c:pt idx="131">
                  <c:v>43435</c:v>
                </c:pt>
                <c:pt idx="132">
                  <c:v>43466</c:v>
                </c:pt>
                <c:pt idx="133">
                  <c:v>43497</c:v>
                </c:pt>
                <c:pt idx="134">
                  <c:v>43525</c:v>
                </c:pt>
                <c:pt idx="135">
                  <c:v>43556</c:v>
                </c:pt>
                <c:pt idx="136">
                  <c:v>43586</c:v>
                </c:pt>
                <c:pt idx="137">
                  <c:v>43617</c:v>
                </c:pt>
                <c:pt idx="138">
                  <c:v>43647</c:v>
                </c:pt>
                <c:pt idx="139">
                  <c:v>43678</c:v>
                </c:pt>
                <c:pt idx="140">
                  <c:v>43709</c:v>
                </c:pt>
                <c:pt idx="141">
                  <c:v>43739</c:v>
                </c:pt>
                <c:pt idx="142">
                  <c:v>43770</c:v>
                </c:pt>
                <c:pt idx="143">
                  <c:v>43800</c:v>
                </c:pt>
              </c:strCache>
            </c:strRef>
          </c:cat>
          <c:val>
            <c:numRef>
              <c:f>[9]Sheet1!$W$5:$FJ$5</c:f>
              <c:numCache>
                <c:formatCode>General</c:formatCode>
                <c:ptCount val="144"/>
                <c:pt idx="0">
                  <c:v>0.1346</c:v>
                </c:pt>
                <c:pt idx="1">
                  <c:v>0.17730000000000001</c:v>
                </c:pt>
                <c:pt idx="2">
                  <c:v>0.18229999999999999</c:v>
                </c:pt>
                <c:pt idx="3">
                  <c:v>0.18160000000000001</c:v>
                </c:pt>
                <c:pt idx="4">
                  <c:v>0.18709999999999999</c:v>
                </c:pt>
                <c:pt idx="5">
                  <c:v>0.2414</c:v>
                </c:pt>
                <c:pt idx="6">
                  <c:v>0.24940000000000001</c:v>
                </c:pt>
                <c:pt idx="7">
                  <c:v>0.28460000000000002</c:v>
                </c:pt>
                <c:pt idx="8">
                  <c:v>0.28062999999999999</c:v>
                </c:pt>
                <c:pt idx="9">
                  <c:v>0.29099999999999998</c:v>
                </c:pt>
                <c:pt idx="10">
                  <c:v>0.26779999999999998</c:v>
                </c:pt>
                <c:pt idx="11">
                  <c:v>0.23519999999999999</c:v>
                </c:pt>
                <c:pt idx="12">
                  <c:v>0.23519999999999999</c:v>
                </c:pt>
                <c:pt idx="13">
                  <c:v>0.1608</c:v>
                </c:pt>
                <c:pt idx="14">
                  <c:v>0.1138</c:v>
                </c:pt>
                <c:pt idx="15">
                  <c:v>9.0120000000000006E-2</c:v>
                </c:pt>
                <c:pt idx="16">
                  <c:v>8.9099999999999999E-2</c:v>
                </c:pt>
                <c:pt idx="17">
                  <c:v>8.6599999999999996E-2</c:v>
                </c:pt>
                <c:pt idx="18">
                  <c:v>8.8156999999999999E-2</c:v>
                </c:pt>
                <c:pt idx="19">
                  <c:v>8.8156999999999999E-2</c:v>
                </c:pt>
                <c:pt idx="20">
                  <c:v>0.12819900000000001</c:v>
                </c:pt>
                <c:pt idx="21">
                  <c:v>0.14682300000000001</c:v>
                </c:pt>
                <c:pt idx="22">
                  <c:v>0.13339200000000001</c:v>
                </c:pt>
                <c:pt idx="23">
                  <c:v>0.13339200000000001</c:v>
                </c:pt>
                <c:pt idx="24">
                  <c:v>0.151146</c:v>
                </c:pt>
                <c:pt idx="25">
                  <c:v>0.14732500000000001</c:v>
                </c:pt>
                <c:pt idx="26">
                  <c:v>0.14923600000000001</c:v>
                </c:pt>
                <c:pt idx="27">
                  <c:v>0.14553199999999999</c:v>
                </c:pt>
                <c:pt idx="28">
                  <c:v>0.14790600000000001</c:v>
                </c:pt>
                <c:pt idx="29">
                  <c:v>0.15458</c:v>
                </c:pt>
                <c:pt idx="30">
                  <c:v>0.15668000000000001</c:v>
                </c:pt>
                <c:pt idx="31">
                  <c:v>0.14949999999999999</c:v>
                </c:pt>
                <c:pt idx="32">
                  <c:v>0.14549999999999999</c:v>
                </c:pt>
                <c:pt idx="33">
                  <c:v>0.14549999999999999</c:v>
                </c:pt>
                <c:pt idx="34">
                  <c:v>0.14835300000000001</c:v>
                </c:pt>
                <c:pt idx="35">
                  <c:v>0.16592000000000001</c:v>
                </c:pt>
                <c:pt idx="36">
                  <c:v>0.17061000000000001</c:v>
                </c:pt>
                <c:pt idx="37">
                  <c:v>0.17788999999999999</c:v>
                </c:pt>
                <c:pt idx="38">
                  <c:v>0.1913</c:v>
                </c:pt>
                <c:pt idx="39">
                  <c:v>0.20300000000000001</c:v>
                </c:pt>
                <c:pt idx="40">
                  <c:v>0.22600000000000001</c:v>
                </c:pt>
                <c:pt idx="41">
                  <c:v>0.24249999999999999</c:v>
                </c:pt>
                <c:pt idx="42">
                  <c:v>0.2366</c:v>
                </c:pt>
                <c:pt idx="43">
                  <c:v>0.24510000000000001</c:v>
                </c:pt>
                <c:pt idx="44">
                  <c:v>0.24099999999999999</c:v>
                </c:pt>
                <c:pt idx="45">
                  <c:v>0.22650000000000001</c:v>
                </c:pt>
                <c:pt idx="46">
                  <c:v>0.23119999999999999</c:v>
                </c:pt>
                <c:pt idx="47">
                  <c:v>0.23219999999999999</c:v>
                </c:pt>
                <c:pt idx="48">
                  <c:v>0.24540000000000001</c:v>
                </c:pt>
                <c:pt idx="49">
                  <c:v>0.24349999999999999</c:v>
                </c:pt>
                <c:pt idx="50">
                  <c:v>0.24540000000000001</c:v>
                </c:pt>
                <c:pt idx="51">
                  <c:v>0.25309999999999999</c:v>
                </c:pt>
                <c:pt idx="52">
                  <c:v>0.25900000000000001</c:v>
                </c:pt>
                <c:pt idx="53">
                  <c:v>0.26129999999999998</c:v>
                </c:pt>
                <c:pt idx="54">
                  <c:v>0.25619999999999998</c:v>
                </c:pt>
                <c:pt idx="55">
                  <c:v>0.23530000000000001</c:v>
                </c:pt>
                <c:pt idx="56">
                  <c:v>0.21160000000000001</c:v>
                </c:pt>
                <c:pt idx="57">
                  <c:v>0.2296</c:v>
                </c:pt>
                <c:pt idx="58">
                  <c:v>0.2447</c:v>
                </c:pt>
                <c:pt idx="59">
                  <c:v>0.25230000000000002</c:v>
                </c:pt>
                <c:pt idx="60">
                  <c:v>0.25259999999999999</c:v>
                </c:pt>
                <c:pt idx="61">
                  <c:v>0.25119999999999998</c:v>
                </c:pt>
                <c:pt idx="62">
                  <c:v>0.24909999999999999</c:v>
                </c:pt>
                <c:pt idx="63">
                  <c:v>0.26200000000000001</c:v>
                </c:pt>
                <c:pt idx="64">
                  <c:v>0.2485</c:v>
                </c:pt>
                <c:pt idx="65">
                  <c:v>0.2351</c:v>
                </c:pt>
                <c:pt idx="66">
                  <c:v>0.22800000000000001</c:v>
                </c:pt>
                <c:pt idx="67">
                  <c:v>0.21729999999999999</c:v>
                </c:pt>
                <c:pt idx="68">
                  <c:v>0.2276</c:v>
                </c:pt>
                <c:pt idx="69">
                  <c:v>0.22989999999999999</c:v>
                </c:pt>
                <c:pt idx="70">
                  <c:v>0.23519999999999999</c:v>
                </c:pt>
                <c:pt idx="71">
                  <c:v>0.24160000000000001</c:v>
                </c:pt>
                <c:pt idx="72">
                  <c:v>0.23100000000000001</c:v>
                </c:pt>
                <c:pt idx="73">
                  <c:v>0.24010000000000001</c:v>
                </c:pt>
                <c:pt idx="74">
                  <c:v>0.2402</c:v>
                </c:pt>
                <c:pt idx="75">
                  <c:v>0.23719999999999999</c:v>
                </c:pt>
                <c:pt idx="76">
                  <c:v>0.24160000000000001</c:v>
                </c:pt>
                <c:pt idx="77">
                  <c:v>0.23830000000000001</c:v>
                </c:pt>
                <c:pt idx="78">
                  <c:v>0.2384</c:v>
                </c:pt>
                <c:pt idx="79">
                  <c:v>0.24010000000000001</c:v>
                </c:pt>
                <c:pt idx="80">
                  <c:v>0.2447</c:v>
                </c:pt>
                <c:pt idx="81">
                  <c:v>0.2366</c:v>
                </c:pt>
                <c:pt idx="82">
                  <c:v>0.23050000000000001</c:v>
                </c:pt>
                <c:pt idx="83">
                  <c:v>0.2203</c:v>
                </c:pt>
                <c:pt idx="84">
                  <c:v>0.20910000000000001</c:v>
                </c:pt>
                <c:pt idx="85">
                  <c:v>0.19800000000000001</c:v>
                </c:pt>
                <c:pt idx="86">
                  <c:v>0.15659999999999999</c:v>
                </c:pt>
                <c:pt idx="87">
                  <c:v>0.1396</c:v>
                </c:pt>
                <c:pt idx="88">
                  <c:v>0.1298</c:v>
                </c:pt>
                <c:pt idx="89">
                  <c:v>0.1321</c:v>
                </c:pt>
                <c:pt idx="90">
                  <c:v>0.1389</c:v>
                </c:pt>
                <c:pt idx="91">
                  <c:v>0.14960000000000001</c:v>
                </c:pt>
                <c:pt idx="92">
                  <c:v>0.14119999999999999</c:v>
                </c:pt>
                <c:pt idx="93">
                  <c:v>0.13639999999999999</c:v>
                </c:pt>
                <c:pt idx="94">
                  <c:v>0.13109999999999999</c:v>
                </c:pt>
                <c:pt idx="95">
                  <c:v>0.11600000000000001</c:v>
                </c:pt>
                <c:pt idx="96">
                  <c:v>9.9900000000000003E-2</c:v>
                </c:pt>
                <c:pt idx="97">
                  <c:v>9.3899999999999997E-2</c:v>
                </c:pt>
                <c:pt idx="98">
                  <c:v>8.9700000000000002E-2</c:v>
                </c:pt>
                <c:pt idx="99">
                  <c:v>7.8799999999999995E-2</c:v>
                </c:pt>
                <c:pt idx="100">
                  <c:v>6.6100000000000006E-2</c:v>
                </c:pt>
                <c:pt idx="101">
                  <c:v>6.4699999999999994E-2</c:v>
                </c:pt>
                <c:pt idx="102">
                  <c:v>7.8399999999999997E-2</c:v>
                </c:pt>
                <c:pt idx="103">
                  <c:v>8.9499999999999996E-2</c:v>
                </c:pt>
                <c:pt idx="104">
                  <c:v>9.7299999999999998E-2</c:v>
                </c:pt>
                <c:pt idx="105">
                  <c:v>8.7599999999999997E-2</c:v>
                </c:pt>
                <c:pt idx="106">
                  <c:v>8.5699999999999998E-2</c:v>
                </c:pt>
                <c:pt idx="107">
                  <c:v>9.1300000000000006E-2</c:v>
                </c:pt>
                <c:pt idx="108">
                  <c:v>9.4399999999999998E-2</c:v>
                </c:pt>
                <c:pt idx="109">
                  <c:v>0.10680000000000001</c:v>
                </c:pt>
                <c:pt idx="110">
                  <c:v>0.1004</c:v>
                </c:pt>
                <c:pt idx="111">
                  <c:v>0.1079</c:v>
                </c:pt>
                <c:pt idx="112">
                  <c:v>0.1168</c:v>
                </c:pt>
                <c:pt idx="113">
                  <c:v>0.12540000000000001</c:v>
                </c:pt>
                <c:pt idx="114">
                  <c:v>0.1129</c:v>
                </c:pt>
                <c:pt idx="115">
                  <c:v>0.10059999999999999</c:v>
                </c:pt>
                <c:pt idx="116">
                  <c:v>9.4299999999999995E-2</c:v>
                </c:pt>
                <c:pt idx="117">
                  <c:v>0.1052</c:v>
                </c:pt>
                <c:pt idx="118">
                  <c:v>0.10680000000000001</c:v>
                </c:pt>
                <c:pt idx="119">
                  <c:v>0.11360000000000001</c:v>
                </c:pt>
                <c:pt idx="120">
                  <c:v>0.1148</c:v>
                </c:pt>
                <c:pt idx="121">
                  <c:v>0.1275</c:v>
                </c:pt>
                <c:pt idx="122">
                  <c:v>0.13980000000000001</c:v>
                </c:pt>
                <c:pt idx="123">
                  <c:v>0.14119999999999999</c:v>
                </c:pt>
                <c:pt idx="124">
                  <c:v>0.14330000000000001</c:v>
                </c:pt>
                <c:pt idx="125">
                  <c:v>0.15110000000000001</c:v>
                </c:pt>
                <c:pt idx="126">
                  <c:v>0.1633</c:v>
                </c:pt>
                <c:pt idx="127">
                  <c:v>0.16550000000000001</c:v>
                </c:pt>
                <c:pt idx="128">
                  <c:v>0.1613</c:v>
                </c:pt>
                <c:pt idx="129">
                  <c:v>0.15809999999999999</c:v>
                </c:pt>
                <c:pt idx="130">
                  <c:v>0.16039999999999999</c:v>
                </c:pt>
                <c:pt idx="131">
                  <c:v>0.16869999999999999</c:v>
                </c:pt>
                <c:pt idx="132">
                  <c:v>0.17699999999999999</c:v>
                </c:pt>
                <c:pt idx="133">
                  <c:v>0.16520000000000001</c:v>
                </c:pt>
                <c:pt idx="134">
                  <c:v>0.1515</c:v>
                </c:pt>
                <c:pt idx="135">
                  <c:v>0.13300000000000001</c:v>
                </c:pt>
                <c:pt idx="136">
                  <c:v>0.1366</c:v>
                </c:pt>
                <c:pt idx="137">
                  <c:v>0.1467</c:v>
                </c:pt>
                <c:pt idx="138">
                  <c:v>0.15060000000000001</c:v>
                </c:pt>
                <c:pt idx="139">
                  <c:v>0.14929999999999999</c:v>
                </c:pt>
                <c:pt idx="140">
                  <c:v>0.14760000000000001</c:v>
                </c:pt>
                <c:pt idx="141">
                  <c:v>0.13830000000000001</c:v>
                </c:pt>
                <c:pt idx="142">
                  <c:v>0.12870000000000001</c:v>
                </c:pt>
                <c:pt idx="143">
                  <c:v>0.13669999999999999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AF-40F0-9922-61EE7E6ACE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1168911"/>
        <c:axId val="1"/>
      </c:lineChart>
      <c:catAx>
        <c:axId val="10711689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71168911"/>
        <c:crosses val="autoZero"/>
        <c:crossBetween val="between"/>
      </c:valAx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567690</xdr:colOff>
      <xdr:row>25</xdr:row>
      <xdr:rowOff>34290</xdr:rowOff>
    </xdr:from>
    <xdr:to>
      <xdr:col>19</xdr:col>
      <xdr:colOff>662940</xdr:colOff>
      <xdr:row>25</xdr:row>
      <xdr:rowOff>112184</xdr:rowOff>
    </xdr:to>
    <xdr:sp macro="" textlink="">
      <xdr:nvSpPr>
        <xdr:cNvPr id="2" name="Down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7007840" y="3653790"/>
          <a:ext cx="95250" cy="7789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17</xdr:col>
      <xdr:colOff>441960</xdr:colOff>
      <xdr:row>25</xdr:row>
      <xdr:rowOff>28575</xdr:rowOff>
    </xdr:from>
    <xdr:to>
      <xdr:col>17</xdr:col>
      <xdr:colOff>531767</xdr:colOff>
      <xdr:row>25</xdr:row>
      <xdr:rowOff>94756</xdr:rowOff>
    </xdr:to>
    <xdr:sp macro="" textlink="">
      <xdr:nvSpPr>
        <xdr:cNvPr id="3" name="Down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5053310" y="3648075"/>
          <a:ext cx="89807" cy="6618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480060</xdr:colOff>
      <xdr:row>6</xdr:row>
      <xdr:rowOff>106680</xdr:rowOff>
    </xdr:from>
    <xdr:to>
      <xdr:col>4</xdr:col>
      <xdr:colOff>480060</xdr:colOff>
      <xdr:row>24</xdr:row>
      <xdr:rowOff>167640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764C6FC-9BE4-F978-434F-ADF9A5660C0D}"/>
            </a:ext>
          </a:extLst>
        </xdr:cNvPr>
        <xdr:cNvCxnSpPr/>
      </xdr:nvCxnSpPr>
      <xdr:spPr>
        <a:xfrm>
          <a:off x="6233160" y="1211580"/>
          <a:ext cx="0" cy="2941320"/>
        </a:xfrm>
        <a:prstGeom prst="line">
          <a:avLst/>
        </a:prstGeom>
        <a:ln w="25400">
          <a:solidFill>
            <a:schemeClr val="accent1">
              <a:alpha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6</xdr:row>
      <xdr:rowOff>95250</xdr:rowOff>
    </xdr:from>
    <xdr:to>
      <xdr:col>4</xdr:col>
      <xdr:colOff>485775</xdr:colOff>
      <xdr:row>6</xdr:row>
      <xdr:rowOff>95250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2A815F00-635C-F348-B7A1-BC9BF520B901}"/>
            </a:ext>
          </a:extLst>
        </xdr:cNvPr>
        <xdr:cNvCxnSpPr/>
      </xdr:nvCxnSpPr>
      <xdr:spPr>
        <a:xfrm flipH="1">
          <a:off x="5762625" y="1190625"/>
          <a:ext cx="476250" cy="0"/>
        </a:xfrm>
        <a:prstGeom prst="straightConnector1">
          <a:avLst/>
        </a:prstGeom>
        <a:ln w="25400">
          <a:solidFill>
            <a:schemeClr val="accent1">
              <a:alpha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</xdr:colOff>
      <xdr:row>24</xdr:row>
      <xdr:rowOff>121920</xdr:rowOff>
    </xdr:from>
    <xdr:to>
      <xdr:col>4</xdr:col>
      <xdr:colOff>487680</xdr:colOff>
      <xdr:row>24</xdr:row>
      <xdr:rowOff>129540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723989ED-F82C-4C5C-9F0A-F4CE0BA61D50}"/>
            </a:ext>
          </a:extLst>
        </xdr:cNvPr>
        <xdr:cNvCxnSpPr/>
      </xdr:nvCxnSpPr>
      <xdr:spPr>
        <a:xfrm flipH="1" flipV="1">
          <a:off x="5791200" y="5402580"/>
          <a:ext cx="449580" cy="7620"/>
        </a:xfrm>
        <a:prstGeom prst="straightConnector1">
          <a:avLst/>
        </a:prstGeom>
        <a:ln w="25400">
          <a:solidFill>
            <a:schemeClr val="accent1">
              <a:alpha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350520</xdr:colOff>
      <xdr:row>6</xdr:row>
      <xdr:rowOff>106680</xdr:rowOff>
    </xdr:from>
    <xdr:to>
      <xdr:col>4</xdr:col>
      <xdr:colOff>358140</xdr:colOff>
      <xdr:row>16</xdr:row>
      <xdr:rowOff>121920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5E12620-A378-432D-82F7-F01BE9995E18}"/>
            </a:ext>
          </a:extLst>
        </xdr:cNvPr>
        <xdr:cNvCxnSpPr/>
      </xdr:nvCxnSpPr>
      <xdr:spPr>
        <a:xfrm flipH="1">
          <a:off x="6103620" y="1211580"/>
          <a:ext cx="7620" cy="1485900"/>
        </a:xfrm>
        <a:prstGeom prst="line">
          <a:avLst/>
        </a:prstGeom>
        <a:ln w="25400">
          <a:solidFill>
            <a:schemeClr val="accent1">
              <a:alpha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790575</xdr:colOff>
      <xdr:row>6</xdr:row>
      <xdr:rowOff>102870</xdr:rowOff>
    </xdr:from>
    <xdr:to>
      <xdr:col>4</xdr:col>
      <xdr:colOff>354330</xdr:colOff>
      <xdr:row>6</xdr:row>
      <xdr:rowOff>104775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87423B7-7DE9-4D7D-A305-DB9C95FDC85C}"/>
            </a:ext>
          </a:extLst>
        </xdr:cNvPr>
        <xdr:cNvCxnSpPr/>
      </xdr:nvCxnSpPr>
      <xdr:spPr>
        <a:xfrm flipH="1">
          <a:off x="5743575" y="1198245"/>
          <a:ext cx="363855" cy="1905"/>
        </a:xfrm>
        <a:prstGeom prst="straightConnector1">
          <a:avLst/>
        </a:prstGeom>
        <a:ln w="25400">
          <a:solidFill>
            <a:schemeClr val="accent1">
              <a:alpha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45720</xdr:colOff>
      <xdr:row>16</xdr:row>
      <xdr:rowOff>106680</xdr:rowOff>
    </xdr:from>
    <xdr:to>
      <xdr:col>4</xdr:col>
      <xdr:colOff>365760</xdr:colOff>
      <xdr:row>16</xdr:row>
      <xdr:rowOff>106680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E68ACC8F-F9A5-415B-9195-1431BB4D3B85}"/>
            </a:ext>
          </a:extLst>
        </xdr:cNvPr>
        <xdr:cNvCxnSpPr/>
      </xdr:nvCxnSpPr>
      <xdr:spPr>
        <a:xfrm flipH="1">
          <a:off x="5798820" y="5052060"/>
          <a:ext cx="320040" cy="0"/>
        </a:xfrm>
        <a:prstGeom prst="straightConnector1">
          <a:avLst/>
        </a:prstGeom>
        <a:ln w="25400">
          <a:solidFill>
            <a:schemeClr val="accent1">
              <a:alpha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43</xdr:row>
      <xdr:rowOff>133350</xdr:rowOff>
    </xdr:from>
    <xdr:to>
      <xdr:col>15</xdr:col>
      <xdr:colOff>523875</xdr:colOff>
      <xdr:row>60</xdr:row>
      <xdr:rowOff>47625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C857FD54-C39E-4373-A94E-28C2F00F7D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EPARTMENTS\Accounting\TPL\2020%20Month%20End\02%20February%202020\TURC%20Payroll%20PPE%2002.02.2020%20Res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THE%20PALMS%202024\ACCOUNTING\FINANCIAL%20CONTROLLER\Financial%20Closure\FY%202024\12%20-%20December%202024%20Strata\December%202024%20-%20Strata%20Prepaid%20&amp;%20Prepaid%20Insurance.xlsx" TargetMode="External"/><Relationship Id="rId1" Type="http://schemas.openxmlformats.org/officeDocument/2006/relationships/externalLinkPath" Target="/THE%20PALMS%202024/ACCOUNTING/FINANCIAL%20CONTROLLER/Financial%20Closure/FY%202024/12%20-%20December%202024%20Strata/December%202024%20-%20Strata%20Prepaid%20&amp;%20Prepaid%20Insurance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THE%20PALMS%202024\ACCOUNTING\FINANCIAL%20CONTROLLER\Budget\FY%202025\Strata%20Plan%20%2350%20-%202025%20Budget\Budget%20Strata%20-%202025%20Board%20presentation%20%20-%20Draft%20V5.xls" TargetMode="External"/><Relationship Id="rId1" Type="http://schemas.openxmlformats.org/officeDocument/2006/relationships/externalLinkPath" Target="/THE%20PALMS%202024/ACCOUNTING/FINANCIAL%20CONTROLLER/Budget/FY%202025/Strata%20Plan%20%2350%20-%202025%20Budget/Budget%20Strata%20-%202025%20Board%20presentation%20%20-%20Draft%20V5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hewitt\Documents\Strata%20-%202024\Strata%20Budget%202024%20-%20Final%20Approved\Budget%20Strata%20-%202024%20Income%20Statement%20-%20FInal%20(Approved).xls" TargetMode="External"/><Relationship Id="rId1" Type="http://schemas.openxmlformats.org/officeDocument/2006/relationships/externalLinkPath" Target="file:///C:\Users\Thewitt\Documents\Strata%20-%202024\Strata%20Budget%202024%20-%20Final%20Approved\Budget%20Strata%20-%202024%20Income%20Statement%20-%20FInal%20(Approved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hobson\Desktop\Budget%202021\2021%20Strata%20Plan%20%2350%202%25%20Contingency%20TM%20Notes%20for%20meeting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THE%20PALMS%202024\ACCOUNTING\FINANCIAL%20CONTROLLER\FINANCIAL%20CLOSURE\FY%202024\12%20-%20December%202024%20Strata\Executive%20report\Board\Reserved%20by%20Project%20-%20December%202024.xlsx" TargetMode="External"/><Relationship Id="rId1" Type="http://schemas.openxmlformats.org/officeDocument/2006/relationships/externalLinkPath" Target="/THE%20PALMS%202024/ACCOUNTING/FINANCIAL%20CONTROLLER/FINANCIAL%20CLOSURE/FY%202024/12%20-%20December%202024%20Strata/Executive%20report/Board/Reserved%20by%20Project%20-%20December%202024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hewitt\AppData\Local\Microsoft\Windows\INetCache\Content.Outlook\7FAH5J14\The%20Palms%20Capex%20Major%20Budget%20-%202025%20-%20DRAFT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THE%20PALMS%202024\ACCOUNTING\FINANCIAL%20CONTROLLER\FINANCIAL%20CLOSURE\FY%202025\03%20March%20Strata%202025\Executive%20report%20-%20Strata\Draft\Reserved%20by%20Project%20-%20March%202025.xlsx" TargetMode="External"/><Relationship Id="rId1" Type="http://schemas.openxmlformats.org/officeDocument/2006/relationships/externalLinkPath" Target="/THE%20PALMS%202024/ACCOUNTING/FINANCIAL%20CONTROLLER/FINANCIAL%20CLOSURE/FY%202025/03%20March%20Strata%202025/Executive%20report%20-%20Strata/Draft/Reserved%20by%20Project%20-%20March%202025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hobson\AppData\Local\Microsoft\Windows\INetCache\Content.Outlook\6IG2RN0Q\Fuel%20factor%20trend%202023.xls" TargetMode="External"/><Relationship Id="rId1" Type="http://schemas.openxmlformats.org/officeDocument/2006/relationships/externalLinkPath" Target="file:///C:\Users\rhobson\AppData\Local\Microsoft\Windows\INetCache\Content.Outlook\6IG2RN0Q\Fuel%20factor%20trend%20202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hewitt/AppData/Local/Microsoft/Windows/INetCache/Content.Outlook/7FAH5J14/The%20Palms%20Capex%20Major%20Budget%20-%202025%20-%20DRAF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Checks &amp; Deposits"/>
      <sheetName val="Sheet1"/>
      <sheetName val="Journal_Headers"/>
      <sheetName val="Journal_Details"/>
      <sheetName val="PRJE"/>
      <sheetName val="EMAIL"/>
      <sheetName val="Flags"/>
      <sheetName val="Sheet2"/>
      <sheetName val="NIS NHIB"/>
      <sheetName val="Insurance"/>
      <sheetName val="Rows 1 to 52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H1" t="str">
            <v>Actual</v>
          </cell>
        </row>
      </sheetData>
      <sheetData sheetId="5" refreshError="1"/>
      <sheetData sheetId="6" refreshError="1">
        <row r="1">
          <cell r="A1" t="str">
            <v>Actual</v>
          </cell>
          <cell r="B1">
            <v>-3</v>
          </cell>
          <cell r="G1" t="str">
            <v>The Palms Turks &amp; Caicos - Hotel</v>
          </cell>
          <cell r="H1" t="str">
            <v>TURC</v>
          </cell>
          <cell r="I1" t="str">
            <v>Hotel</v>
          </cell>
        </row>
        <row r="2">
          <cell r="A2" t="str">
            <v>Accrual</v>
          </cell>
          <cell r="B2">
            <v>-2</v>
          </cell>
          <cell r="G2" t="str">
            <v>The Palms Turks &amp; Caicos - Strata</v>
          </cell>
          <cell r="H2" t="str">
            <v>TURC</v>
          </cell>
          <cell r="I2" t="str">
            <v>Strata</v>
          </cell>
        </row>
        <row r="3">
          <cell r="B3">
            <v>-1</v>
          </cell>
        </row>
        <row r="4">
          <cell r="B4">
            <v>0</v>
          </cell>
        </row>
        <row r="5">
          <cell r="B5">
            <v>1</v>
          </cell>
        </row>
        <row r="6">
          <cell r="B6">
            <v>2</v>
          </cell>
        </row>
        <row r="7">
          <cell r="B7">
            <v>3</v>
          </cell>
        </row>
        <row r="8">
          <cell r="B8">
            <v>4</v>
          </cell>
        </row>
        <row r="9">
          <cell r="B9">
            <v>5</v>
          </cell>
        </row>
        <row r="10">
          <cell r="B10">
            <v>6</v>
          </cell>
        </row>
        <row r="11">
          <cell r="B11">
            <v>7</v>
          </cell>
        </row>
        <row r="12">
          <cell r="B12">
            <v>8</v>
          </cell>
        </row>
        <row r="13">
          <cell r="B13">
            <v>9</v>
          </cell>
        </row>
        <row r="14">
          <cell r="B14">
            <v>10</v>
          </cell>
        </row>
        <row r="15">
          <cell r="B15">
            <v>11</v>
          </cell>
        </row>
        <row r="16">
          <cell r="B16">
            <v>12</v>
          </cell>
        </row>
        <row r="17">
          <cell r="B17">
            <v>13</v>
          </cell>
        </row>
        <row r="18">
          <cell r="B18">
            <v>14</v>
          </cell>
        </row>
        <row r="19">
          <cell r="B19">
            <v>15</v>
          </cell>
        </row>
        <row r="20">
          <cell r="B20">
            <v>16</v>
          </cell>
        </row>
        <row r="21">
          <cell r="B21">
            <v>17</v>
          </cell>
        </row>
        <row r="22">
          <cell r="B22">
            <v>18</v>
          </cell>
        </row>
        <row r="23">
          <cell r="B23">
            <v>19</v>
          </cell>
        </row>
        <row r="24">
          <cell r="B24">
            <v>20</v>
          </cell>
        </row>
      </sheetData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ournal_Headers"/>
      <sheetName val="Journal_Details"/>
      <sheetName val="Worksheet"/>
      <sheetName val="130009-01 Prepaid  (3)"/>
      <sheetName val="130009-01 Prepaid  (2)"/>
      <sheetName val="130009-01 Prepaid  V1"/>
      <sheetName val="130001-01 Prepaid Insurance"/>
      <sheetName val="111070-01 - July 2024"/>
      <sheetName val="130001-01 Prepaid"/>
      <sheetName val="111070-01 -June 2024"/>
      <sheetName val="GL - Apr 24"/>
      <sheetName val="Prepaid 130001-01"/>
      <sheetName val="2024 -Prepaid 130001-01"/>
      <sheetName val="Prepaid -130009-01 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Account Number</v>
          </cell>
          <cell r="B1" t="str">
            <v>Description</v>
          </cell>
          <cell r="D1" t="str">
            <v>YES</v>
          </cell>
        </row>
        <row r="2">
          <cell r="A2" t="str">
            <v>101029-01</v>
          </cell>
          <cell r="B2" t="str">
            <v>DISBURSEMENT CASH ACCT</v>
          </cell>
          <cell r="D2" t="str">
            <v>NO</v>
          </cell>
        </row>
        <row r="3">
          <cell r="A3" t="str">
            <v>101030-01</v>
          </cell>
          <cell r="B3" t="str">
            <v>OWNER'S CASH</v>
          </cell>
        </row>
        <row r="4">
          <cell r="A4" t="str">
            <v>101031-01</v>
          </cell>
          <cell r="B4" t="str">
            <v>AGENCY CASH ACCOUNT</v>
          </cell>
        </row>
        <row r="5">
          <cell r="A5" t="str">
            <v>101032-01</v>
          </cell>
          <cell r="B5" t="str">
            <v>CASH CLEARING ACCOUNT</v>
          </cell>
        </row>
        <row r="6">
          <cell r="A6" t="str">
            <v>101034-01</v>
          </cell>
          <cell r="B6" t="str">
            <v>DEPOSITORY ACCOUNT</v>
          </cell>
        </row>
        <row r="7">
          <cell r="A7" t="str">
            <v>101039-01</v>
          </cell>
          <cell r="B7" t="str">
            <v>INNKEEPER'S  BANK  ACCT</v>
          </cell>
        </row>
        <row r="8">
          <cell r="A8" t="str">
            <v>101060-01</v>
          </cell>
          <cell r="B8" t="str">
            <v>CREDIT CARD RECEIVABLE</v>
          </cell>
        </row>
        <row r="9">
          <cell r="A9" t="str">
            <v>105001-01</v>
          </cell>
          <cell r="B9" t="str">
            <v>PAYROLL CLEARING ACCOUNT</v>
          </cell>
        </row>
        <row r="10">
          <cell r="A10" t="str">
            <v>105003-01</v>
          </cell>
          <cell r="B10" t="str">
            <v>PAYROLL BANK ACCOUNT</v>
          </cell>
        </row>
        <row r="11">
          <cell r="A11" t="str">
            <v>107001-01</v>
          </cell>
          <cell r="B11" t="str">
            <v>PETTY CASH/HOUSE FUNDS</v>
          </cell>
        </row>
        <row r="12">
          <cell r="A12" t="str">
            <v>111004-01</v>
          </cell>
          <cell r="B12" t="str">
            <v>RENT RECEIVABLE</v>
          </cell>
        </row>
        <row r="13">
          <cell r="A13" t="str">
            <v>111009-01</v>
          </cell>
          <cell r="B13" t="str">
            <v>NSF CHECKS</v>
          </cell>
        </row>
        <row r="14">
          <cell r="A14" t="str">
            <v>111011-01</v>
          </cell>
          <cell r="B14" t="str">
            <v>INSURANCE CLAIMS RECEIVABLE</v>
          </cell>
        </row>
        <row r="15">
          <cell r="A15" t="str">
            <v>111017-01</v>
          </cell>
          <cell r="B15" t="str">
            <v>BARTER</v>
          </cell>
        </row>
        <row r="16">
          <cell r="A16" t="str">
            <v>111018-01</v>
          </cell>
          <cell r="B16" t="str">
            <v>CITY LEDGER</v>
          </cell>
        </row>
        <row r="17">
          <cell r="A17" t="str">
            <v>111019-01</v>
          </cell>
          <cell r="B17" t="str">
            <v>GUEST LEDGER</v>
          </cell>
        </row>
        <row r="18">
          <cell r="A18" t="str">
            <v>111050-01</v>
          </cell>
          <cell r="B18" t="str">
            <v>ACCTS RECEIVABLE OTHER</v>
          </cell>
        </row>
        <row r="19">
          <cell r="A19" t="str">
            <v>111051-01</v>
          </cell>
          <cell r="B19" t="str">
            <v>MISC RECEIVABLES</v>
          </cell>
        </row>
        <row r="20">
          <cell r="A20" t="str">
            <v>111052-01</v>
          </cell>
          <cell r="B20" t="str">
            <v>EMPLOYEE HOUSING RECEIVABLE</v>
          </cell>
        </row>
        <row r="21">
          <cell r="A21" t="str">
            <v>111053-01</v>
          </cell>
          <cell r="B21" t="str">
            <v>WORK PERMIT RECEIVABLE</v>
          </cell>
        </row>
        <row r="22">
          <cell r="A22" t="str">
            <v>111054-01</v>
          </cell>
          <cell r="B22" t="str">
            <v>INTECOMPANY-SANDS</v>
          </cell>
        </row>
        <row r="23">
          <cell r="A23" t="str">
            <v>111055-01</v>
          </cell>
          <cell r="B23" t="str">
            <v>REFUNDS DUE</v>
          </cell>
        </row>
        <row r="24">
          <cell r="A24" t="str">
            <v>111056-01</v>
          </cell>
          <cell r="B24" t="str">
            <v>ACCOUNTS RECEIVABLE JV</v>
          </cell>
        </row>
        <row r="25">
          <cell r="A25" t="str">
            <v>111057-01</v>
          </cell>
          <cell r="B25" t="str">
            <v>A/R FROM OWNER FF&amp;E RESERVE</v>
          </cell>
        </row>
        <row r="26">
          <cell r="A26" t="str">
            <v>111066-01</v>
          </cell>
          <cell r="B26" t="str">
            <v>RECEIVABLE FROM OWNER</v>
          </cell>
        </row>
        <row r="27">
          <cell r="A27" t="str">
            <v>111099-01</v>
          </cell>
          <cell r="B27" t="str">
            <v>ALLOW FOR UNCOLL A/R</v>
          </cell>
        </row>
        <row r="28">
          <cell r="A28" t="str">
            <v>115002-01</v>
          </cell>
          <cell r="B28" t="str">
            <v>EMPLOYEE RECEIVABLE</v>
          </cell>
        </row>
        <row r="29">
          <cell r="A29" t="str">
            <v>122001-01</v>
          </cell>
          <cell r="B29" t="str">
            <v>SILVER INVENTORY</v>
          </cell>
        </row>
        <row r="30">
          <cell r="A30" t="str">
            <v>122002-01</v>
          </cell>
          <cell r="B30" t="str">
            <v>LINEN INVENTORY</v>
          </cell>
        </row>
        <row r="31">
          <cell r="A31" t="str">
            <v>122003-01</v>
          </cell>
          <cell r="B31" t="str">
            <v>CHINA/GLASS INVENTORY</v>
          </cell>
        </row>
        <row r="32">
          <cell r="A32" t="str">
            <v>123001-01</v>
          </cell>
          <cell r="B32" t="str">
            <v>FOOD INVENTORY</v>
          </cell>
        </row>
        <row r="33">
          <cell r="A33" t="str">
            <v>123010-01</v>
          </cell>
          <cell r="B33" t="str">
            <v>BEER INVENTORY</v>
          </cell>
        </row>
        <row r="34">
          <cell r="A34" t="str">
            <v>123011-01</v>
          </cell>
          <cell r="B34" t="str">
            <v>WINE INVENTORY</v>
          </cell>
        </row>
        <row r="35">
          <cell r="A35" t="str">
            <v>123012-01</v>
          </cell>
          <cell r="B35" t="str">
            <v>LIQUOR INVENTORY</v>
          </cell>
        </row>
        <row r="36">
          <cell r="A36" t="str">
            <v>123013-01</v>
          </cell>
          <cell r="B36" t="str">
            <v>SODA INVENTORY</v>
          </cell>
        </row>
        <row r="37">
          <cell r="A37" t="str">
            <v>123053-01</v>
          </cell>
          <cell r="B37" t="str">
            <v>GIFT/SOUVENIR INVENTORY</v>
          </cell>
        </row>
        <row r="38">
          <cell r="A38" t="str">
            <v>123055-01</v>
          </cell>
          <cell r="B38" t="str">
            <v>TOBACCO INVENT.</v>
          </cell>
        </row>
        <row r="39">
          <cell r="A39" t="str">
            <v>123058-01</v>
          </cell>
          <cell r="B39" t="str">
            <v>SUNDRY INVENT.</v>
          </cell>
        </row>
        <row r="40">
          <cell r="A40" t="str">
            <v>123059-01</v>
          </cell>
          <cell r="B40" t="str">
            <v>SPA INVENTORY</v>
          </cell>
        </row>
        <row r="41">
          <cell r="A41" t="str">
            <v>123062-01</v>
          </cell>
          <cell r="B41" t="str">
            <v>ATTRACTION TICKET INVENT.</v>
          </cell>
        </row>
        <row r="42">
          <cell r="A42" t="str">
            <v>123248-83</v>
          </cell>
          <cell r="B42" t="str">
            <v>FOOD INVENTORY</v>
          </cell>
        </row>
        <row r="43">
          <cell r="A43" t="str">
            <v>123249-83</v>
          </cell>
          <cell r="B43" t="str">
            <v>BEER INVENTORY</v>
          </cell>
        </row>
        <row r="44">
          <cell r="A44" t="str">
            <v>123256-83</v>
          </cell>
          <cell r="B44" t="str">
            <v>PAPER GOODS INVENTORY</v>
          </cell>
        </row>
        <row r="45">
          <cell r="A45" t="str">
            <v>123259-83</v>
          </cell>
          <cell r="B45" t="str">
            <v>MISCELLANEOUS INVENTORY</v>
          </cell>
        </row>
        <row r="46">
          <cell r="A46" t="str">
            <v>124004-01</v>
          </cell>
          <cell r="B46" t="str">
            <v>GUEST SUPPLIES INVENTORY</v>
          </cell>
        </row>
        <row r="47">
          <cell r="A47" t="str">
            <v>124005-01</v>
          </cell>
          <cell r="B47" t="str">
            <v>CLEANING SUPPLIES INVENT.</v>
          </cell>
        </row>
        <row r="48">
          <cell r="A48" t="str">
            <v>124006-01</v>
          </cell>
          <cell r="B48" t="str">
            <v>LAUNDRY SUPPLIES INVENT.</v>
          </cell>
        </row>
        <row r="49">
          <cell r="A49" t="str">
            <v>124007-01</v>
          </cell>
          <cell r="B49" t="str">
            <v>PAPER SUPPLIES INVENT.</v>
          </cell>
        </row>
        <row r="50">
          <cell r="A50" t="str">
            <v>124015-01</v>
          </cell>
          <cell r="B50" t="str">
            <v>FUEL OIL INVENTORY</v>
          </cell>
        </row>
        <row r="51">
          <cell r="A51" t="str">
            <v>130001-01</v>
          </cell>
          <cell r="B51" t="str">
            <v>PREPAID INSURANCE</v>
          </cell>
        </row>
        <row r="52">
          <cell r="A52" t="str">
            <v>130009-01</v>
          </cell>
          <cell r="B52" t="str">
            <v>OTHER PREPAIDS</v>
          </cell>
        </row>
        <row r="53">
          <cell r="A53" t="str">
            <v>130010-01</v>
          </cell>
          <cell r="B53" t="str">
            <v>PREPAID INTEREST</v>
          </cell>
        </row>
        <row r="54">
          <cell r="A54" t="str">
            <v>130015-01</v>
          </cell>
          <cell r="B54" t="str">
            <v>PREPAID LICENSES</v>
          </cell>
        </row>
        <row r="55">
          <cell r="A55" t="str">
            <v>131001-01</v>
          </cell>
          <cell r="B55" t="str">
            <v>DEPOSITS</v>
          </cell>
        </row>
        <row r="56">
          <cell r="A56" t="str">
            <v>131005-01</v>
          </cell>
          <cell r="B56" t="str">
            <v>PREPAID R.E/PERS.PROP TAXES</v>
          </cell>
        </row>
        <row r="57">
          <cell r="A57" t="str">
            <v>151050-01</v>
          </cell>
          <cell r="B57" t="str">
            <v>LAND</v>
          </cell>
        </row>
        <row r="58">
          <cell r="A58" t="str">
            <v>151051-01</v>
          </cell>
          <cell r="B58" t="str">
            <v>LAND IMPROVEMENTS</v>
          </cell>
        </row>
        <row r="59">
          <cell r="A59" t="str">
            <v>152052-01</v>
          </cell>
          <cell r="B59" t="str">
            <v>BUILDING</v>
          </cell>
        </row>
        <row r="60">
          <cell r="A60" t="str">
            <v>152053-01</v>
          </cell>
          <cell r="B60" t="str">
            <v>BUILDING IMPROVEMENTS</v>
          </cell>
        </row>
        <row r="61">
          <cell r="A61" t="str">
            <v>152054-01</v>
          </cell>
          <cell r="B61" t="str">
            <v>LEASEHOLD IMPROVEMENT</v>
          </cell>
        </row>
        <row r="62">
          <cell r="A62" t="str">
            <v>152056-01</v>
          </cell>
          <cell r="B62" t="str">
            <v>LEASEHOLD IMPROVEMENT</v>
          </cell>
        </row>
        <row r="63">
          <cell r="A63" t="str">
            <v>153050-01</v>
          </cell>
          <cell r="B63" t="str">
            <v>COMPUTER HARDWARE</v>
          </cell>
        </row>
        <row r="64">
          <cell r="A64" t="str">
            <v>153051-01</v>
          </cell>
          <cell r="B64" t="str">
            <v>TELEPHONE EQUIPMENT</v>
          </cell>
        </row>
        <row r="65">
          <cell r="A65" t="str">
            <v>153052-01</v>
          </cell>
          <cell r="B65" t="str">
            <v>OFFICE FURNITURE &amp; EQUIP.</v>
          </cell>
        </row>
        <row r="66">
          <cell r="A66" t="str">
            <v>153053-01</v>
          </cell>
          <cell r="B66" t="str">
            <v>DECOR</v>
          </cell>
        </row>
        <row r="67">
          <cell r="A67" t="str">
            <v>153054-01</v>
          </cell>
          <cell r="B67" t="str">
            <v>LEASEHOLD IMPROVEMENT</v>
          </cell>
        </row>
        <row r="68">
          <cell r="A68" t="str">
            <v>153055-01</v>
          </cell>
          <cell r="B68" t="str">
            <v>LEASEHOLD IMPROVEMENT</v>
          </cell>
        </row>
        <row r="69">
          <cell r="A69" t="str">
            <v>153056-01</v>
          </cell>
          <cell r="B69" t="str">
            <v>LEASEHOLD IMPROVEMENT</v>
          </cell>
        </row>
        <row r="70">
          <cell r="A70" t="str">
            <v>153057-01</v>
          </cell>
          <cell r="B70" t="str">
            <v>F.F.&amp; E. HOTEL</v>
          </cell>
        </row>
        <row r="71">
          <cell r="A71" t="str">
            <v>153058-01</v>
          </cell>
          <cell r="B71" t="str">
            <v>VEHICLES</v>
          </cell>
        </row>
        <row r="72">
          <cell r="A72" t="str">
            <v>153059-01</v>
          </cell>
          <cell r="B72" t="str">
            <v>F F &amp; E OWNERS</v>
          </cell>
        </row>
        <row r="73">
          <cell r="A73" t="str">
            <v>153060-01</v>
          </cell>
          <cell r="B73" t="str">
            <v>COMPUTER SOFTWARE</v>
          </cell>
        </row>
        <row r="74">
          <cell r="A74" t="str">
            <v>153067-01</v>
          </cell>
          <cell r="B74" t="str">
            <v>CAPITALIZED LEASES</v>
          </cell>
        </row>
        <row r="75">
          <cell r="A75" t="str">
            <v>153069-01</v>
          </cell>
          <cell r="B75" t="str">
            <v>MISC FIXED ASSETS</v>
          </cell>
        </row>
        <row r="76">
          <cell r="A76" t="str">
            <v>154070-01</v>
          </cell>
          <cell r="B76" t="str">
            <v>CONSTRUCTION IN PROGRESS</v>
          </cell>
        </row>
        <row r="77">
          <cell r="A77" t="str">
            <v>162052-01</v>
          </cell>
          <cell r="B77" t="str">
            <v>ACCUM DEPR BUILDING</v>
          </cell>
        </row>
        <row r="78">
          <cell r="A78" t="str">
            <v>162053-01</v>
          </cell>
          <cell r="B78" t="str">
            <v>ACCUM DEPR BLDG IMPROVE</v>
          </cell>
        </row>
        <row r="79">
          <cell r="A79" t="str">
            <v>162054-01</v>
          </cell>
          <cell r="B79" t="str">
            <v>ACCUM AMORT LEASEHOLD IMPROV</v>
          </cell>
        </row>
        <row r="80">
          <cell r="A80" t="str">
            <v>162056-01</v>
          </cell>
          <cell r="B80" t="str">
            <v>ACCUM DEPR LEASEHOLD SITE IMPR</v>
          </cell>
        </row>
        <row r="81">
          <cell r="A81" t="str">
            <v>163050-01</v>
          </cell>
          <cell r="B81" t="str">
            <v>ACCUM DEPR COMPUTER HARDWARE</v>
          </cell>
        </row>
        <row r="82">
          <cell r="A82" t="str">
            <v>163051-01</v>
          </cell>
          <cell r="B82" t="str">
            <v>ACCUM DEPR TELEPHONE EQUIPMENT</v>
          </cell>
        </row>
        <row r="83">
          <cell r="A83" t="str">
            <v>163052-01</v>
          </cell>
          <cell r="B83" t="str">
            <v>ACCUM DEPR OFFICE FURN &amp; EQUIP</v>
          </cell>
        </row>
        <row r="84">
          <cell r="A84" t="str">
            <v>163053-01</v>
          </cell>
          <cell r="B84" t="str">
            <v>ACCUM DEPR DECOR</v>
          </cell>
        </row>
        <row r="85">
          <cell r="A85" t="str">
            <v>163054-01</v>
          </cell>
          <cell r="B85" t="str">
            <v>ACCUM DEPR KITCHEN EQUIPMENT</v>
          </cell>
        </row>
        <row r="86">
          <cell r="A86" t="str">
            <v>163055-01</v>
          </cell>
          <cell r="B86" t="str">
            <v>ACCUM DEPR A/V EQUIPMENT</v>
          </cell>
        </row>
        <row r="87">
          <cell r="A87" t="str">
            <v>163056-01</v>
          </cell>
          <cell r="B87" t="str">
            <v>ACCUM DEPR MACHINERY &amp; EQUIP</v>
          </cell>
        </row>
        <row r="88">
          <cell r="A88" t="str">
            <v>163057-01</v>
          </cell>
          <cell r="B88" t="str">
            <v>ACCUM DEPR FF&amp;E HOTEL</v>
          </cell>
        </row>
        <row r="89">
          <cell r="A89" t="str">
            <v>163058-01</v>
          </cell>
          <cell r="B89" t="str">
            <v>ACCUM DEPR VEHICLES</v>
          </cell>
        </row>
        <row r="90">
          <cell r="A90" t="str">
            <v>163059-01</v>
          </cell>
          <cell r="B90" t="str">
            <v>ACCUM AMORT PURCHASED SOFTWARE</v>
          </cell>
        </row>
        <row r="91">
          <cell r="A91" t="str">
            <v>163069-01</v>
          </cell>
          <cell r="B91" t="str">
            <v>ACCUM DEPR MISC ASSETS</v>
          </cell>
        </row>
        <row r="92">
          <cell r="A92" t="str">
            <v>180001-01</v>
          </cell>
          <cell r="B92" t="str">
            <v>RESERVE ACCOUNT</v>
          </cell>
        </row>
        <row r="93">
          <cell r="A93" t="str">
            <v>180012-01</v>
          </cell>
          <cell r="B93" t="str">
            <v>ORGANIZATIONAL COSTS</v>
          </cell>
        </row>
        <row r="94">
          <cell r="A94" t="str">
            <v>180013-01</v>
          </cell>
          <cell r="B94" t="str">
            <v>CONVERSION COSTS</v>
          </cell>
        </row>
        <row r="95">
          <cell r="A95" t="str">
            <v>180015-01</v>
          </cell>
          <cell r="B95" t="str">
            <v>DEFERRED CHARGES</v>
          </cell>
        </row>
        <row r="96">
          <cell r="A96" t="str">
            <v>180016-01</v>
          </cell>
          <cell r="B96" t="str">
            <v>LOAN FEES</v>
          </cell>
        </row>
        <row r="97">
          <cell r="A97" t="str">
            <v>180047-01</v>
          </cell>
          <cell r="B97" t="str">
            <v>F.F.&amp;E. RESERVE INVESTMENT</v>
          </cell>
        </row>
        <row r="98">
          <cell r="A98" t="str">
            <v>180048-01</v>
          </cell>
          <cell r="B98" t="str">
            <v>F.F.&amp;E. RESERVE-CASH</v>
          </cell>
        </row>
        <row r="99">
          <cell r="A99" t="str">
            <v>180049-01</v>
          </cell>
          <cell r="B99" t="str">
            <v>RESTRICTED CASH</v>
          </cell>
        </row>
        <row r="100">
          <cell r="A100" t="str">
            <v>180050-01</v>
          </cell>
          <cell r="B100" t="str">
            <v>TAX RESERVE</v>
          </cell>
        </row>
        <row r="101">
          <cell r="A101" t="str">
            <v>180051-01</v>
          </cell>
          <cell r="B101" t="str">
            <v>INSURANCE RESERVE</v>
          </cell>
        </row>
        <row r="102">
          <cell r="A102" t="str">
            <v>180052-01</v>
          </cell>
          <cell r="B102" t="str">
            <v>DEBT SERVICE RESERVE</v>
          </cell>
        </row>
        <row r="103">
          <cell r="A103" t="str">
            <v>180053-01</v>
          </cell>
          <cell r="B103" t="str">
            <v>SERVICING FEE RESERVE</v>
          </cell>
        </row>
        <row r="104">
          <cell r="A104" t="str">
            <v>180054-01</v>
          </cell>
          <cell r="B104" t="str">
            <v>OPERATING RESERVE</v>
          </cell>
        </row>
        <row r="105">
          <cell r="A105" t="str">
            <v>180055-01</v>
          </cell>
          <cell r="B105" t="str">
            <v>INTEREST RESERVE</v>
          </cell>
        </row>
        <row r="106">
          <cell r="A106" t="str">
            <v>180067-01</v>
          </cell>
          <cell r="B106" t="str">
            <v>EXCESS RESERVE</v>
          </cell>
        </row>
        <row r="107">
          <cell r="A107" t="str">
            <v>183012-01</v>
          </cell>
          <cell r="B107" t="str">
            <v>AMORT ORGANIZATION COSTS</v>
          </cell>
        </row>
        <row r="108">
          <cell r="A108" t="str">
            <v>183013-01</v>
          </cell>
          <cell r="B108" t="str">
            <v>AMORT-PRE OPENING COSTS</v>
          </cell>
        </row>
        <row r="109">
          <cell r="A109" t="str">
            <v>183016-01</v>
          </cell>
          <cell r="B109" t="str">
            <v>AMORT LOAN FEES</v>
          </cell>
        </row>
        <row r="110">
          <cell r="A110" t="str">
            <v>183060-01</v>
          </cell>
          <cell r="B110" t="str">
            <v>ACCUMULATED DEPRECIATION COMPUTER SOFTWARE</v>
          </cell>
        </row>
        <row r="111">
          <cell r="A111" t="str">
            <v>185001-01</v>
          </cell>
          <cell r="B111" t="str">
            <v>NOTES REC. L.T. MAT.</v>
          </cell>
        </row>
        <row r="112">
          <cell r="A112" t="str">
            <v>201001-01</v>
          </cell>
          <cell r="B112" t="str">
            <v>ACCOUNTS PAYABLE TRADE</v>
          </cell>
        </row>
        <row r="113">
          <cell r="A113" t="str">
            <v>201002-01</v>
          </cell>
          <cell r="B113" t="str">
            <v>A/P- UTILITIES</v>
          </cell>
        </row>
        <row r="114">
          <cell r="A114" t="str">
            <v>201005-01</v>
          </cell>
          <cell r="B114" t="str">
            <v>A/P OTHER</v>
          </cell>
        </row>
        <row r="115">
          <cell r="A115" t="str">
            <v>201006-01</v>
          </cell>
          <cell r="B115" t="str">
            <v>UNCLAIMED PROPERTY</v>
          </cell>
        </row>
        <row r="116">
          <cell r="A116" t="str">
            <v>201007-01</v>
          </cell>
          <cell r="B116" t="str">
            <v>A/P- GIFT SHOP</v>
          </cell>
        </row>
        <row r="117">
          <cell r="A117" t="str">
            <v>201008-01</v>
          </cell>
          <cell r="B117" t="str">
            <v>A/P RETAIL AV EQUIP.</v>
          </cell>
        </row>
        <row r="118">
          <cell r="A118" t="str">
            <v>201009-01</v>
          </cell>
          <cell r="B118" t="str">
            <v>A/P RETAIL</v>
          </cell>
        </row>
        <row r="119">
          <cell r="A119" t="str">
            <v>201011-01</v>
          </cell>
          <cell r="B119" t="str">
            <v>A/P CHW</v>
          </cell>
        </row>
        <row r="120">
          <cell r="A120" t="str">
            <v>201012-01</v>
          </cell>
          <cell r="B120" t="str">
            <v>A/P SALES TAX</v>
          </cell>
        </row>
        <row r="121">
          <cell r="A121" t="str">
            <v>201013-01</v>
          </cell>
          <cell r="B121" t="str">
            <v>A/P WORLD CHILDHOOD FOUNDATION</v>
          </cell>
        </row>
        <row r="122">
          <cell r="A122" t="str">
            <v>201014-01</v>
          </cell>
          <cell r="B122" t="str">
            <v>COMMISSION PAYABLE</v>
          </cell>
        </row>
        <row r="123">
          <cell r="A123" t="str">
            <v>201023-01</v>
          </cell>
          <cell r="B123" t="str">
            <v>A/P RESTAURANT</v>
          </cell>
        </row>
        <row r="124">
          <cell r="A124" t="str">
            <v>201052-01</v>
          </cell>
          <cell r="B124" t="str">
            <v>A/P INTER COMPANY OWNER</v>
          </cell>
        </row>
        <row r="125">
          <cell r="A125" t="str">
            <v>201053-01</v>
          </cell>
          <cell r="B125" t="str">
            <v>ACCOUNTS PAYABLE JV</v>
          </cell>
        </row>
        <row r="126">
          <cell r="A126" t="str">
            <v>201054-01</v>
          </cell>
          <cell r="B126" t="str">
            <v>A/P OWNER FF&amp;E RESERVE</v>
          </cell>
        </row>
        <row r="127">
          <cell r="A127" t="str">
            <v>203001-01</v>
          </cell>
          <cell r="B127" t="str">
            <v>NOTES PAYABLE</v>
          </cell>
        </row>
        <row r="128">
          <cell r="A128" t="str">
            <v>205001-01</v>
          </cell>
          <cell r="B128" t="str">
            <v>CURRENT MAT L\T DEBT</v>
          </cell>
        </row>
        <row r="129">
          <cell r="A129" t="str">
            <v>205002-01</v>
          </cell>
          <cell r="B129" t="str">
            <v>CURRENT MATURITY 2ND MORTGAGE</v>
          </cell>
        </row>
        <row r="130">
          <cell r="A130" t="str">
            <v>205003-01</v>
          </cell>
          <cell r="B130" t="str">
            <v>CURRENT PORTION CAP. LEASE #1</v>
          </cell>
        </row>
        <row r="131">
          <cell r="A131" t="str">
            <v>205004-01</v>
          </cell>
          <cell r="B131" t="str">
            <v>CURRENT PORTION- CAP. LEASE #2</v>
          </cell>
        </row>
        <row r="132">
          <cell r="A132" t="str">
            <v>207001-01</v>
          </cell>
          <cell r="B132" t="str">
            <v>CITY SALES TAX</v>
          </cell>
        </row>
        <row r="133">
          <cell r="A133" t="str">
            <v>207002-01</v>
          </cell>
          <cell r="B133" t="str">
            <v>COUNTY TAX</v>
          </cell>
        </row>
        <row r="134">
          <cell r="A134" t="str">
            <v>207003-01</v>
          </cell>
          <cell r="B134" t="str">
            <v>EXCISE TAX</v>
          </cell>
        </row>
        <row r="135">
          <cell r="A135" t="str">
            <v>207004-01</v>
          </cell>
          <cell r="B135" t="str">
            <v>ENTERTAINMENT TAX RECLASS</v>
          </cell>
        </row>
        <row r="136">
          <cell r="A136" t="str">
            <v>207006-01</v>
          </cell>
          <cell r="B136" t="str">
            <v>EDUCATION TAX</v>
          </cell>
        </row>
        <row r="137">
          <cell r="A137" t="str">
            <v>207007-01</v>
          </cell>
          <cell r="B137" t="str">
            <v>SPECIAL TAX</v>
          </cell>
        </row>
        <row r="138">
          <cell r="A138" t="str">
            <v>207034-01</v>
          </cell>
          <cell r="B138" t="str">
            <v>STATE SALES TAX</v>
          </cell>
        </row>
        <row r="139">
          <cell r="A139" t="str">
            <v>207080-01</v>
          </cell>
          <cell r="B139" t="str">
            <v>BEVERAGE GROSS RECEIPTS TAX EX</v>
          </cell>
        </row>
        <row r="140">
          <cell r="A140" t="str">
            <v>210024-01</v>
          </cell>
          <cell r="B140" t="str">
            <v>STATE WITHHOLDING</v>
          </cell>
        </row>
        <row r="141">
          <cell r="A141" t="str">
            <v>212001-01</v>
          </cell>
          <cell r="B141" t="str">
            <v>FIT WITHHOLDING</v>
          </cell>
        </row>
        <row r="142">
          <cell r="A142" t="str">
            <v>212002-01</v>
          </cell>
          <cell r="B142" t="str">
            <v>NIS WITHHOLDING</v>
          </cell>
        </row>
        <row r="143">
          <cell r="A143" t="str">
            <v>220001-01</v>
          </cell>
          <cell r="B143" t="str">
            <v>EMPLOYEE INSURANCE</v>
          </cell>
        </row>
        <row r="144">
          <cell r="A144" t="str">
            <v>220007-01</v>
          </cell>
          <cell r="B144" t="str">
            <v>GOVERNMENT BONDS</v>
          </cell>
        </row>
        <row r="145">
          <cell r="A145" t="str">
            <v>220008-01</v>
          </cell>
          <cell r="B145" t="str">
            <v>UNITED FUND/DONATIONS</v>
          </cell>
        </row>
        <row r="146">
          <cell r="A146" t="str">
            <v>220009-01</v>
          </cell>
          <cell r="B146" t="str">
            <v>UNION DUES</v>
          </cell>
        </row>
        <row r="147">
          <cell r="A147" t="str">
            <v>220012-01</v>
          </cell>
          <cell r="B147" t="str">
            <v>GARNISHMENTS</v>
          </cell>
        </row>
        <row r="148">
          <cell r="A148" t="str">
            <v>220017-01</v>
          </cell>
          <cell r="B148" t="str">
            <v>MISC DEDUCTIONS</v>
          </cell>
        </row>
        <row r="149">
          <cell r="A149" t="str">
            <v>230001-01</v>
          </cell>
          <cell r="B149" t="str">
            <v>NIS EMPLOYER PORTION</v>
          </cell>
        </row>
        <row r="150">
          <cell r="A150" t="str">
            <v>230004-01</v>
          </cell>
          <cell r="B150" t="str">
            <v>FUTA TAX</v>
          </cell>
        </row>
        <row r="151">
          <cell r="A151" t="str">
            <v>230005-01</v>
          </cell>
          <cell r="B151" t="str">
            <v>SUTA TAX</v>
          </cell>
        </row>
        <row r="152">
          <cell r="A152" t="str">
            <v>240001-01</v>
          </cell>
          <cell r="B152" t="str">
            <v>ACCRUED REAL ESTATE TAX</v>
          </cell>
        </row>
        <row r="153">
          <cell r="A153" t="str">
            <v>240002-01</v>
          </cell>
          <cell r="B153" t="str">
            <v>PERSONAL PROPERTY TAX</v>
          </cell>
        </row>
        <row r="154">
          <cell r="A154" t="str">
            <v>240003-01</v>
          </cell>
          <cell r="B154" t="str">
            <v>ACCRUED SBT TAX</v>
          </cell>
        </row>
        <row r="155">
          <cell r="A155" t="str">
            <v>247001-01</v>
          </cell>
          <cell r="B155" t="str">
            <v>ACCRUED UTILITIES</v>
          </cell>
        </row>
        <row r="156">
          <cell r="A156" t="str">
            <v>248001-01</v>
          </cell>
          <cell r="B156" t="str">
            <v>ACCRUED VAC HTL PAYROLL</v>
          </cell>
        </row>
        <row r="157">
          <cell r="A157" t="str">
            <v>249001-01</v>
          </cell>
          <cell r="B157" t="str">
            <v>ACCRUED DEFERRED COMP</v>
          </cell>
        </row>
        <row r="158">
          <cell r="A158" t="str">
            <v>249002-01</v>
          </cell>
          <cell r="B158" t="str">
            <v>DEFERRED COMP EMPLOYEE</v>
          </cell>
        </row>
        <row r="159">
          <cell r="A159" t="str">
            <v>249003-01</v>
          </cell>
          <cell r="B159" t="str">
            <v>401K DEDUCTION</v>
          </cell>
        </row>
        <row r="160">
          <cell r="A160" t="str">
            <v>249004-01</v>
          </cell>
          <cell r="B160" t="str">
            <v>ACCRUED PENSION</v>
          </cell>
        </row>
        <row r="161">
          <cell r="A161" t="str">
            <v>249005-01</v>
          </cell>
          <cell r="B161" t="str">
            <v>ACCR. HEALTH &amp; WELFARE</v>
          </cell>
        </row>
        <row r="162">
          <cell r="A162" t="str">
            <v>250001-01</v>
          </cell>
          <cell r="B162" t="str">
            <v>ACCRUED INTEREST MORTGAGE</v>
          </cell>
        </row>
        <row r="163">
          <cell r="A163" t="str">
            <v>252001-01</v>
          </cell>
          <cell r="B163" t="str">
            <v>ACCRUED SALARIES/WAGES</v>
          </cell>
        </row>
        <row r="164">
          <cell r="A164" t="str">
            <v>252003-01</v>
          </cell>
          <cell r="B164" t="str">
            <v>ACCRUED BONUSES</v>
          </cell>
        </row>
        <row r="165">
          <cell r="A165" t="str">
            <v>252009-01</v>
          </cell>
          <cell r="B165" t="str">
            <v>ACCRUED TIPS</v>
          </cell>
        </row>
        <row r="166">
          <cell r="A166" t="str">
            <v>257001-01</v>
          </cell>
          <cell r="B166" t="str">
            <v>ACCRUED UTILITIES</v>
          </cell>
        </row>
        <row r="167">
          <cell r="A167" t="str">
            <v>259001-01</v>
          </cell>
          <cell r="B167" t="str">
            <v>ACCRUED GENERAL RESERVE</v>
          </cell>
        </row>
        <row r="168">
          <cell r="A168" t="str">
            <v>259006-01</v>
          </cell>
          <cell r="B168" t="str">
            <v>ACCRUED LEGAL/PROFESSIONAL</v>
          </cell>
        </row>
        <row r="169">
          <cell r="A169" t="str">
            <v>259007-01</v>
          </cell>
          <cell r="B169" t="str">
            <v>ACCR. GROUND RENT</v>
          </cell>
        </row>
        <row r="170">
          <cell r="A170" t="str">
            <v>259010-01</v>
          </cell>
          <cell r="B170" t="str">
            <v>ACCRUED OTHER EXPENSES</v>
          </cell>
        </row>
        <row r="171">
          <cell r="A171" t="str">
            <v>259054-01</v>
          </cell>
          <cell r="B171" t="str">
            <v>MISC CHARGES</v>
          </cell>
        </row>
        <row r="172">
          <cell r="A172" t="str">
            <v>260001-01</v>
          </cell>
          <cell r="B172" t="str">
            <v>CUSTOMER DEPOSITS</v>
          </cell>
        </row>
        <row r="173">
          <cell r="A173" t="str">
            <v>260002-01</v>
          </cell>
          <cell r="B173" t="str">
            <v>WATERSPORT</v>
          </cell>
        </row>
        <row r="174">
          <cell r="A174" t="str">
            <v>260003-01</v>
          </cell>
          <cell r="B174" t="str">
            <v>DEFERRED INCOME</v>
          </cell>
        </row>
        <row r="175">
          <cell r="A175" t="str">
            <v>260005-01</v>
          </cell>
          <cell r="B175" t="str">
            <v>ADVANCE DEP HEALTH CLUB</v>
          </cell>
        </row>
        <row r="176">
          <cell r="A176" t="str">
            <v>260006-01</v>
          </cell>
          <cell r="B176" t="str">
            <v>PACKAGE CLEARING</v>
          </cell>
        </row>
        <row r="177">
          <cell r="A177" t="str">
            <v>260007-01</v>
          </cell>
          <cell r="B177" t="str">
            <v>SCRIPT LIABILITY</v>
          </cell>
        </row>
        <row r="178">
          <cell r="A178" t="str">
            <v>260008-01</v>
          </cell>
          <cell r="B178" t="str">
            <v>RENT DEPOSITS</v>
          </cell>
        </row>
        <row r="179">
          <cell r="A179" t="str">
            <v>261001-01</v>
          </cell>
          <cell r="B179" t="str">
            <v>AIRPORT TRANSFERS</v>
          </cell>
        </row>
        <row r="180">
          <cell r="A180" t="str">
            <v>265001-01</v>
          </cell>
          <cell r="B180" t="str">
            <v>GIFT CERTIFICATES</v>
          </cell>
        </row>
        <row r="181">
          <cell r="A181" t="str">
            <v>270001-01</v>
          </cell>
          <cell r="B181" t="str">
            <v>MORTGAGE</v>
          </cell>
        </row>
        <row r="182">
          <cell r="A182" t="str">
            <v>270002-01</v>
          </cell>
          <cell r="B182" t="str">
            <v>SECOND MORTGAGE</v>
          </cell>
        </row>
        <row r="183">
          <cell r="A183" t="str">
            <v>270003-01</v>
          </cell>
          <cell r="B183" t="str">
            <v>L.T. PORTION CAP. LEASE #1</v>
          </cell>
        </row>
        <row r="184">
          <cell r="A184" t="str">
            <v>270009-01</v>
          </cell>
          <cell r="B184" t="str">
            <v>L.T. PORTION CAP. LEASE #7</v>
          </cell>
        </row>
        <row r="185">
          <cell r="A185" t="str">
            <v>271001-01</v>
          </cell>
          <cell r="B185" t="str">
            <v>DEFERRED MGMT PAY</v>
          </cell>
        </row>
        <row r="186">
          <cell r="A186" t="str">
            <v>275001-01</v>
          </cell>
          <cell r="B186" t="str">
            <v>LONG TERM LIABILITIES</v>
          </cell>
        </row>
        <row r="187">
          <cell r="A187" t="str">
            <v>282001-01</v>
          </cell>
          <cell r="B187" t="str">
            <v>CONTRIBUTED WORKING CAPITAL</v>
          </cell>
        </row>
        <row r="188">
          <cell r="A188" t="str">
            <v>282002-01</v>
          </cell>
          <cell r="B188" t="str">
            <v>OWNER CONTR.- F.F.&amp; E.</v>
          </cell>
        </row>
        <row r="189">
          <cell r="A189" t="str">
            <v>282003-01</v>
          </cell>
          <cell r="B189" t="str">
            <v>CASH PAYMENTS TO OWNERS</v>
          </cell>
        </row>
        <row r="190">
          <cell r="A190" t="str">
            <v>282005-01</v>
          </cell>
          <cell r="B190" t="str">
            <v>INTERCOMPANY-OWNER</v>
          </cell>
        </row>
        <row r="191">
          <cell r="A191" t="str">
            <v>282007-01</v>
          </cell>
          <cell r="B191" t="str">
            <v>OWNER CONTRIB.- OTHER</v>
          </cell>
        </row>
        <row r="192">
          <cell r="A192" t="str">
            <v>282008-01</v>
          </cell>
          <cell r="B192" t="str">
            <v>CONTRIBUTION W/C PARTNER 1</v>
          </cell>
        </row>
        <row r="193">
          <cell r="A193" t="str">
            <v>282009-01</v>
          </cell>
          <cell r="B193" t="str">
            <v>CONTRIBUTION W/C PARTNER 2</v>
          </cell>
        </row>
        <row r="194">
          <cell r="A194" t="str">
            <v>285001-01</v>
          </cell>
          <cell r="B194" t="str">
            <v>PARTNERSHIP EQUITY</v>
          </cell>
        </row>
        <row r="195">
          <cell r="A195" t="str">
            <v>286001-01</v>
          </cell>
          <cell r="B195" t="str">
            <v>RETAINED EARN PRIOR YRS</v>
          </cell>
        </row>
        <row r="196">
          <cell r="A196" t="str">
            <v>286003-01</v>
          </cell>
          <cell r="B196" t="str">
            <v>RETAINED EARNINGS-OWNER</v>
          </cell>
        </row>
        <row r="197">
          <cell r="A197" t="str">
            <v>286006-01</v>
          </cell>
          <cell r="B197" t="str">
            <v>OWNER CONTRIBUTION</v>
          </cell>
        </row>
        <row r="198">
          <cell r="A198" t="str">
            <v>286098-01</v>
          </cell>
          <cell r="B198" t="str">
            <v>CURRENT EARNINGS</v>
          </cell>
        </row>
        <row r="199">
          <cell r="A199" t="str">
            <v>286099-01</v>
          </cell>
          <cell r="B199" t="str">
            <v>INCOME SUMMARY</v>
          </cell>
        </row>
        <row r="200">
          <cell r="A200" t="str">
            <v>300001-03</v>
          </cell>
          <cell r="B200" t="str">
            <v>RESTAURANT # 1 - FOOD</v>
          </cell>
        </row>
        <row r="201">
          <cell r="A201" t="str">
            <v>300001-12</v>
          </cell>
          <cell r="B201" t="str">
            <v>ROOM SERVICE BEVERAGE</v>
          </cell>
        </row>
        <row r="202">
          <cell r="A202" t="str">
            <v>300002-03</v>
          </cell>
          <cell r="B202" t="str">
            <v>RESTAURANT # 2 - FOOD</v>
          </cell>
        </row>
        <row r="203">
          <cell r="A203" t="str">
            <v>300002-12</v>
          </cell>
          <cell r="B203" t="str">
            <v>BANQUET BEVERAGE</v>
          </cell>
        </row>
        <row r="204">
          <cell r="A204" t="str">
            <v>300003-03</v>
          </cell>
          <cell r="B204" t="str">
            <v>RESTAURANT # 3 - FOOD</v>
          </cell>
        </row>
        <row r="205">
          <cell r="A205" t="str">
            <v>300003-12</v>
          </cell>
          <cell r="B205" t="str">
            <v>RESTAURANT # 1-BEVERAGE</v>
          </cell>
        </row>
        <row r="206">
          <cell r="A206" t="str">
            <v>300004-03</v>
          </cell>
          <cell r="B206" t="str">
            <v>RESTAURANT # 4 - FOOD</v>
          </cell>
        </row>
        <row r="207">
          <cell r="A207" t="str">
            <v>300004-12</v>
          </cell>
          <cell r="B207" t="str">
            <v>RESTAURANT # 2-BEVERAGE</v>
          </cell>
        </row>
        <row r="208">
          <cell r="A208" t="str">
            <v>300005-03</v>
          </cell>
          <cell r="B208" t="str">
            <v>ENTERTAIN. LOUNGE - FOOD</v>
          </cell>
        </row>
        <row r="209">
          <cell r="A209" t="str">
            <v>300005-12</v>
          </cell>
          <cell r="B209" t="str">
            <v>RESTAURANT # 3-BEVERAGE</v>
          </cell>
        </row>
        <row r="210">
          <cell r="A210" t="str">
            <v>300006-03</v>
          </cell>
          <cell r="B210" t="str">
            <v>ROOM SERVICE - FOOD</v>
          </cell>
        </row>
        <row r="211">
          <cell r="A211" t="str">
            <v>300006-12</v>
          </cell>
          <cell r="B211" t="str">
            <v>RESTAURANT # 4-BEVERAGE</v>
          </cell>
        </row>
        <row r="212">
          <cell r="A212" t="str">
            <v>300007-03</v>
          </cell>
          <cell r="B212" t="str">
            <v>BANQUET FOOD</v>
          </cell>
        </row>
        <row r="213">
          <cell r="A213" t="str">
            <v>300007-12</v>
          </cell>
          <cell r="B213" t="str">
            <v>ENTERTAINMENT LOUNGE-BEVERAGE</v>
          </cell>
        </row>
        <row r="214">
          <cell r="A214" t="str">
            <v>300008-03</v>
          </cell>
          <cell r="B214" t="str">
            <v>OTHER RESTAURANT - FOOD</v>
          </cell>
        </row>
        <row r="215">
          <cell r="A215" t="str">
            <v>300008-12</v>
          </cell>
          <cell r="B215" t="str">
            <v>LOBBY BAR-BEVERAGE</v>
          </cell>
        </row>
        <row r="216">
          <cell r="A216" t="str">
            <v>300009-03</v>
          </cell>
          <cell r="B216" t="str">
            <v>SERVI BAR-FOOD</v>
          </cell>
        </row>
        <row r="217">
          <cell r="A217" t="str">
            <v>300009-12</v>
          </cell>
          <cell r="B217" t="str">
            <v>OTHER RESTAURANT - BEVERAGE</v>
          </cell>
        </row>
        <row r="218">
          <cell r="A218" t="str">
            <v>300010-12</v>
          </cell>
          <cell r="B218" t="str">
            <v>SERVI BAR - BEVERAGE</v>
          </cell>
        </row>
        <row r="219">
          <cell r="A219" t="str">
            <v>300015-03</v>
          </cell>
          <cell r="B219" t="str">
            <v>LOBBY BAR - FOOD 57</v>
          </cell>
        </row>
        <row r="220">
          <cell r="A220" t="str">
            <v>300016-03</v>
          </cell>
          <cell r="B220" t="str">
            <v>BANQUET SERVICE CHARGE</v>
          </cell>
        </row>
        <row r="221">
          <cell r="A221" t="str">
            <v>300017-03</v>
          </cell>
          <cell r="B221" t="str">
            <v>WEDDING ACCESSORIES</v>
          </cell>
        </row>
        <row r="222">
          <cell r="A222" t="str">
            <v>300017-12</v>
          </cell>
          <cell r="B222" t="str">
            <v>BANQUET SERVICE CHARGE</v>
          </cell>
        </row>
        <row r="223">
          <cell r="A223" t="str">
            <v>300018-03</v>
          </cell>
          <cell r="B223" t="str">
            <v>BANQUET ROOM RENTAL</v>
          </cell>
        </row>
        <row r="224">
          <cell r="A224" t="str">
            <v>300018-12</v>
          </cell>
          <cell r="B224" t="str">
            <v>BARTENDER CHARGES</v>
          </cell>
        </row>
        <row r="225">
          <cell r="A225" t="str">
            <v>300019-03</v>
          </cell>
          <cell r="B225" t="str">
            <v>OTHER SERVICES INCOME</v>
          </cell>
        </row>
        <row r="226">
          <cell r="A226" t="str">
            <v>300019-12</v>
          </cell>
          <cell r="B226" t="str">
            <v>CORKAGE</v>
          </cell>
        </row>
        <row r="227">
          <cell r="A227" t="str">
            <v>300020-12</v>
          </cell>
          <cell r="B227" t="str">
            <v>COVER CHARGES</v>
          </cell>
        </row>
        <row r="228">
          <cell r="A228" t="str">
            <v>300021-03</v>
          </cell>
          <cell r="B228" t="str">
            <v>SERVICE CHARGE</v>
          </cell>
        </row>
        <row r="229">
          <cell r="A229" t="str">
            <v>300021-12</v>
          </cell>
          <cell r="B229" t="str">
            <v>SERVICE CHARGE</v>
          </cell>
        </row>
        <row r="230">
          <cell r="A230" t="str">
            <v>300022-03</v>
          </cell>
          <cell r="B230" t="str">
            <v>R/S COVER CHARGES</v>
          </cell>
        </row>
        <row r="231">
          <cell r="A231" t="str">
            <v>300023-03</v>
          </cell>
          <cell r="B231" t="str">
            <v>CIGARETTE REVENUE</v>
          </cell>
        </row>
        <row r="232">
          <cell r="A232" t="str">
            <v>320005-10</v>
          </cell>
          <cell r="B232" t="str">
            <v>BANQUET SERVICE CHARGE</v>
          </cell>
        </row>
        <row r="233">
          <cell r="A233" t="str">
            <v>320005-13</v>
          </cell>
          <cell r="B233" t="str">
            <v>BANQUET SERVICE CHARGE</v>
          </cell>
        </row>
        <row r="234">
          <cell r="A234" t="str">
            <v>320006-10</v>
          </cell>
          <cell r="B234" t="str">
            <v>MISC. OTHER REVENUE</v>
          </cell>
        </row>
        <row r="235">
          <cell r="A235" t="str">
            <v>320007-34</v>
          </cell>
          <cell r="B235" t="str">
            <v>LOCAL SALES</v>
          </cell>
        </row>
        <row r="236">
          <cell r="A236" t="str">
            <v>320008-02</v>
          </cell>
          <cell r="B236" t="str">
            <v>TRANSIENT TRVL/LEISURE</v>
          </cell>
        </row>
        <row r="237">
          <cell r="A237" t="str">
            <v>320008-34</v>
          </cell>
          <cell r="B237" t="str">
            <v>LONG DIST SALES</v>
          </cell>
        </row>
        <row r="238">
          <cell r="A238" t="str">
            <v>320009-02</v>
          </cell>
          <cell r="B238" t="str">
            <v>TRANSIENT SPEC DISCOUNT</v>
          </cell>
        </row>
        <row r="239">
          <cell r="A239" t="str">
            <v>320009-10</v>
          </cell>
          <cell r="B239" t="str">
            <v>BANQUET ROOM RENTAL</v>
          </cell>
        </row>
        <row r="240">
          <cell r="A240" t="str">
            <v>320010-02</v>
          </cell>
          <cell r="B240" t="str">
            <v>TRANSIENT INDIVIDUAL</v>
          </cell>
        </row>
        <row r="241">
          <cell r="A241" t="str">
            <v>320011-02</v>
          </cell>
          <cell r="B241" t="str">
            <v>GROUP CONVENTION</v>
          </cell>
        </row>
        <row r="242">
          <cell r="A242" t="str">
            <v>320011-10</v>
          </cell>
          <cell r="B242" t="str">
            <v>OTHER SERVICES INCOME</v>
          </cell>
        </row>
        <row r="243">
          <cell r="A243" t="str">
            <v>320011-35</v>
          </cell>
          <cell r="B243" t="str">
            <v>OTHER SERVICES INCOME</v>
          </cell>
        </row>
        <row r="244">
          <cell r="A244" t="str">
            <v>320012-35</v>
          </cell>
          <cell r="B244" t="str">
            <v>BUSINESS CENTER SALES</v>
          </cell>
        </row>
        <row r="245">
          <cell r="A245" t="str">
            <v>320014-02</v>
          </cell>
          <cell r="B245" t="str">
            <v>GROUP TRAVEL/LEISURE</v>
          </cell>
        </row>
        <row r="246">
          <cell r="A246" t="str">
            <v>320014-35</v>
          </cell>
          <cell r="B246" t="str">
            <v>COAT CHECK INCOME</v>
          </cell>
        </row>
        <row r="247">
          <cell r="A247" t="str">
            <v>320015-35</v>
          </cell>
          <cell r="B247" t="str">
            <v>CONCESSION/VENDING INCOME</v>
          </cell>
        </row>
        <row r="248">
          <cell r="A248" t="str">
            <v>320016-34</v>
          </cell>
          <cell r="B248" t="str">
            <v>PAY PHONE COMMISSIONS</v>
          </cell>
        </row>
        <row r="249">
          <cell r="A249" t="str">
            <v>320017-35</v>
          </cell>
          <cell r="B249" t="str">
            <v>GAMEROOM INCOME</v>
          </cell>
        </row>
        <row r="250">
          <cell r="A250" t="str">
            <v>320018-35</v>
          </cell>
          <cell r="B250" t="str">
            <v>COMMISSONS INCOME</v>
          </cell>
        </row>
        <row r="251">
          <cell r="A251" t="str">
            <v>320020-35</v>
          </cell>
          <cell r="B251" t="str">
            <v>RENTAL INCOME</v>
          </cell>
        </row>
        <row r="252">
          <cell r="A252" t="str">
            <v>320021-35</v>
          </cell>
          <cell r="B252" t="str">
            <v>GOLF INCOME</v>
          </cell>
        </row>
        <row r="253">
          <cell r="A253" t="str">
            <v>320021-36</v>
          </cell>
          <cell r="B253" t="str">
            <v>GOLF TIPPING GREEN FEE</v>
          </cell>
        </row>
        <row r="254">
          <cell r="A254" t="str">
            <v>320024-35</v>
          </cell>
          <cell r="B254" t="str">
            <v>ADMISSIONS INCOME</v>
          </cell>
        </row>
        <row r="255">
          <cell r="A255" t="str">
            <v>320025-09</v>
          </cell>
          <cell r="B255" t="str">
            <v>R/S COVER CHARGES</v>
          </cell>
        </row>
        <row r="256">
          <cell r="A256" t="str">
            <v>320025-13</v>
          </cell>
          <cell r="B256" t="str">
            <v>BARTENDER CHARGE</v>
          </cell>
        </row>
        <row r="257">
          <cell r="A257" t="str">
            <v>320027-36</v>
          </cell>
          <cell r="B257" t="str">
            <v>EQUIPMENT RENTAL SALES</v>
          </cell>
        </row>
        <row r="258">
          <cell r="A258" t="str">
            <v>320028-34</v>
          </cell>
          <cell r="B258" t="str">
            <v>SURCHARGE SALES</v>
          </cell>
        </row>
        <row r="259">
          <cell r="A259" t="str">
            <v>320029-35</v>
          </cell>
          <cell r="B259" t="str">
            <v>GARAGE INCOME</v>
          </cell>
        </row>
        <row r="260">
          <cell r="A260" t="str">
            <v>320030-02</v>
          </cell>
          <cell r="B260" t="str">
            <v>HOUSEKEEPING SERVICES</v>
          </cell>
        </row>
        <row r="261">
          <cell r="A261" t="str">
            <v>320030-35</v>
          </cell>
          <cell r="B261" t="str">
            <v>LAUNDRY SALES</v>
          </cell>
        </row>
        <row r="262">
          <cell r="A262" t="str">
            <v>320031-35</v>
          </cell>
          <cell r="B262" t="str">
            <v>VALET INCOME</v>
          </cell>
        </row>
        <row r="263">
          <cell r="A263" t="str">
            <v>320032-35</v>
          </cell>
          <cell r="B263" t="str">
            <v>MEMBERSHIP DUES</v>
          </cell>
        </row>
        <row r="264">
          <cell r="A264" t="str">
            <v>320033-34</v>
          </cell>
          <cell r="B264" t="str">
            <v>EQUIPMENT RENTAL SALES</v>
          </cell>
        </row>
        <row r="265">
          <cell r="A265" t="str">
            <v>320035-03</v>
          </cell>
          <cell r="B265" t="str">
            <v>TOBACCO REVENUE</v>
          </cell>
        </row>
        <row r="266">
          <cell r="A266" t="str">
            <v>320035-14</v>
          </cell>
          <cell r="B266" t="str">
            <v>TOBACCO REVENUE</v>
          </cell>
        </row>
        <row r="267">
          <cell r="A267" t="str">
            <v>320035-35</v>
          </cell>
          <cell r="B267" t="str">
            <v>MOVIES</v>
          </cell>
        </row>
        <row r="268">
          <cell r="A268" t="str">
            <v>320035-61</v>
          </cell>
          <cell r="B268" t="str">
            <v>TOBACCO REVENUE</v>
          </cell>
        </row>
        <row r="269">
          <cell r="A269" t="str">
            <v>320036-35</v>
          </cell>
          <cell r="B269" t="str">
            <v>ANTENNA RENTAL</v>
          </cell>
        </row>
        <row r="270">
          <cell r="A270" t="str">
            <v>320037-10</v>
          </cell>
          <cell r="B270" t="str">
            <v>AUDIO VISUAL INCOME</v>
          </cell>
        </row>
        <row r="271">
          <cell r="A271" t="str">
            <v>320037-35</v>
          </cell>
          <cell r="B271" t="str">
            <v>AUDIO VISUAL RENTALS</v>
          </cell>
        </row>
        <row r="272">
          <cell r="A272" t="str">
            <v>320038-35</v>
          </cell>
          <cell r="B272" t="str">
            <v>FACILITIES SURCHARGE</v>
          </cell>
        </row>
        <row r="273">
          <cell r="A273" t="str">
            <v>320039-35</v>
          </cell>
          <cell r="B273" t="str">
            <v>PHOTO COPY INCOME</v>
          </cell>
        </row>
        <row r="274">
          <cell r="A274" t="str">
            <v>320039-36</v>
          </cell>
          <cell r="B274" t="str">
            <v>HEALTH CLUB INCOME</v>
          </cell>
        </row>
        <row r="275">
          <cell r="A275" t="str">
            <v>320040-35</v>
          </cell>
          <cell r="B275" t="str">
            <v>ATTRACTION TICKETS INCOME</v>
          </cell>
        </row>
        <row r="276">
          <cell r="A276" t="str">
            <v>320040-36</v>
          </cell>
          <cell r="B276" t="str">
            <v>MEMBERSHIP FEES</v>
          </cell>
        </row>
        <row r="277">
          <cell r="A277" t="str">
            <v>320040-41</v>
          </cell>
          <cell r="B277" t="str">
            <v>FOOD SALES</v>
          </cell>
        </row>
        <row r="278">
          <cell r="A278" t="str">
            <v>320041-11</v>
          </cell>
          <cell r="B278" t="str">
            <v>BEER SALES</v>
          </cell>
        </row>
        <row r="279">
          <cell r="A279" t="str">
            <v>320041-14</v>
          </cell>
          <cell r="B279" t="str">
            <v>BEER SALES</v>
          </cell>
        </row>
        <row r="280">
          <cell r="A280" t="str">
            <v>320041-35</v>
          </cell>
          <cell r="B280" t="str">
            <v>GIFT SHOP/BOUTIQUE</v>
          </cell>
        </row>
        <row r="281">
          <cell r="A281" t="str">
            <v>320041-61</v>
          </cell>
          <cell r="B281" t="str">
            <v>BEER SALES</v>
          </cell>
        </row>
        <row r="282">
          <cell r="A282" t="str">
            <v>320042-11</v>
          </cell>
          <cell r="B282" t="str">
            <v>WINE SALES</v>
          </cell>
        </row>
        <row r="283">
          <cell r="A283" t="str">
            <v>320042-13</v>
          </cell>
          <cell r="B283" t="str">
            <v>WINE REVENUE</v>
          </cell>
        </row>
        <row r="284">
          <cell r="A284" t="str">
            <v>320042-14</v>
          </cell>
          <cell r="B284" t="str">
            <v>WINE SALES</v>
          </cell>
        </row>
        <row r="285">
          <cell r="A285" t="str">
            <v>320042-35</v>
          </cell>
          <cell r="B285" t="str">
            <v>PHOTO SHOP</v>
          </cell>
        </row>
        <row r="286">
          <cell r="A286" t="str">
            <v>320042-61</v>
          </cell>
          <cell r="B286" t="str">
            <v>WINE SALES</v>
          </cell>
        </row>
        <row r="287">
          <cell r="A287" t="str">
            <v>320043-11</v>
          </cell>
          <cell r="B287" t="str">
            <v>LIQUOR SALES</v>
          </cell>
        </row>
        <row r="288">
          <cell r="A288" t="str">
            <v>320043-14</v>
          </cell>
          <cell r="B288" t="str">
            <v>LIQUOR SALES</v>
          </cell>
        </row>
        <row r="289">
          <cell r="A289" t="str">
            <v>320043-35</v>
          </cell>
          <cell r="B289" t="str">
            <v>SALON/SPA</v>
          </cell>
        </row>
        <row r="290">
          <cell r="A290" t="str">
            <v>320043-61</v>
          </cell>
          <cell r="B290" t="str">
            <v>LIQUOR SALES</v>
          </cell>
        </row>
        <row r="291">
          <cell r="A291" t="str">
            <v>320043-83</v>
          </cell>
          <cell r="B291" t="str">
            <v>LIQUOR REVENUE</v>
          </cell>
        </row>
        <row r="292">
          <cell r="A292" t="str">
            <v>320044-14</v>
          </cell>
          <cell r="B292" t="str">
            <v>SOFT SALES</v>
          </cell>
        </row>
        <row r="293">
          <cell r="A293" t="str">
            <v>320044-35</v>
          </cell>
          <cell r="B293" t="str">
            <v>CASINO</v>
          </cell>
        </row>
        <row r="294">
          <cell r="A294" t="str">
            <v>320044-36</v>
          </cell>
          <cell r="B294" t="str">
            <v>SOFT SALES</v>
          </cell>
        </row>
        <row r="295">
          <cell r="A295" t="str">
            <v>320044-61</v>
          </cell>
          <cell r="B295" t="str">
            <v>SOFT SALES</v>
          </cell>
        </row>
        <row r="296">
          <cell r="A296" t="str">
            <v>320050-13</v>
          </cell>
          <cell r="B296" t="str">
            <v>CORKAGE</v>
          </cell>
        </row>
        <row r="297">
          <cell r="A297" t="str">
            <v>320050-41</v>
          </cell>
          <cell r="B297" t="str">
            <v>BOTTLE SALES</v>
          </cell>
        </row>
        <row r="298">
          <cell r="A298" t="str">
            <v>320051-36</v>
          </cell>
          <cell r="B298" t="str">
            <v>ACCESSORIES</v>
          </cell>
        </row>
        <row r="299">
          <cell r="A299" t="str">
            <v>320051-41</v>
          </cell>
          <cell r="B299" t="str">
            <v>LADIES CLOTHING SALES</v>
          </cell>
        </row>
        <row r="300">
          <cell r="A300" t="str">
            <v>320052-41</v>
          </cell>
          <cell r="B300" t="str">
            <v>MEN'S CLOTHING SALES</v>
          </cell>
        </row>
        <row r="301">
          <cell r="A301" t="str">
            <v>320053-36</v>
          </cell>
          <cell r="B301" t="str">
            <v>GIFT REVENUES</v>
          </cell>
        </row>
        <row r="302">
          <cell r="A302" t="str">
            <v>320053-41</v>
          </cell>
          <cell r="B302" t="str">
            <v>GIFTS/SOUVENIER SALES</v>
          </cell>
        </row>
        <row r="303">
          <cell r="A303" t="str">
            <v>320054-41</v>
          </cell>
          <cell r="B303" t="str">
            <v>JEWELRY/ACCESSORY SALES</v>
          </cell>
        </row>
        <row r="304">
          <cell r="A304" t="str">
            <v>320055-14</v>
          </cell>
          <cell r="B304" t="str">
            <v>TOBACCO SALES</v>
          </cell>
        </row>
        <row r="305">
          <cell r="A305" t="str">
            <v>320055-41</v>
          </cell>
          <cell r="B305" t="str">
            <v>TOBACCO SALES</v>
          </cell>
        </row>
        <row r="306">
          <cell r="A306" t="str">
            <v>320056-41</v>
          </cell>
          <cell r="B306" t="str">
            <v>PAPER GOODS SALES</v>
          </cell>
        </row>
        <row r="307">
          <cell r="A307" t="str">
            <v>320057-41</v>
          </cell>
          <cell r="B307" t="str">
            <v>CANDY SALES</v>
          </cell>
        </row>
        <row r="308">
          <cell r="A308" t="str">
            <v>320058-36</v>
          </cell>
          <cell r="B308" t="str">
            <v>SUNDRIES</v>
          </cell>
        </row>
        <row r="309">
          <cell r="A309" t="str">
            <v>320058-41</v>
          </cell>
          <cell r="B309" t="str">
            <v>SUNDRY SALES</v>
          </cell>
        </row>
        <row r="310">
          <cell r="A310" t="str">
            <v>320058-83</v>
          </cell>
          <cell r="B310" t="str">
            <v>SUNDRIES</v>
          </cell>
        </row>
        <row r="311">
          <cell r="A311" t="str">
            <v>320059-41</v>
          </cell>
          <cell r="B311" t="str">
            <v>MISC. SALES</v>
          </cell>
        </row>
        <row r="312">
          <cell r="A312" t="str">
            <v>320059-83</v>
          </cell>
          <cell r="B312" t="str">
            <v>MISC SALES</v>
          </cell>
        </row>
        <row r="313">
          <cell r="A313" t="str">
            <v>320060-41</v>
          </cell>
          <cell r="B313" t="str">
            <v>IMPRINT SALES</v>
          </cell>
        </row>
        <row r="314">
          <cell r="A314" t="str">
            <v>320061-41</v>
          </cell>
          <cell r="B314" t="str">
            <v>TICKET SALES-DISNEY</v>
          </cell>
        </row>
        <row r="315">
          <cell r="A315" t="str">
            <v>320062-41</v>
          </cell>
          <cell r="B315" t="str">
            <v>ATTRACTION TICKETS</v>
          </cell>
        </row>
        <row r="316">
          <cell r="A316" t="str">
            <v>320065-36</v>
          </cell>
          <cell r="B316" t="str">
            <v>COURT FEES</v>
          </cell>
        </row>
        <row r="317">
          <cell r="A317" t="str">
            <v>320066-36</v>
          </cell>
          <cell r="B317" t="str">
            <v>MASSAGE FEES</v>
          </cell>
        </row>
        <row r="318">
          <cell r="A318" t="str">
            <v>320066-38</v>
          </cell>
          <cell r="B318" t="str">
            <v>CONCH KRITTERS REVENUE</v>
          </cell>
        </row>
        <row r="319">
          <cell r="A319" t="str">
            <v>320067-36</v>
          </cell>
          <cell r="B319" t="str">
            <v>MERCHANDISE SALES</v>
          </cell>
        </row>
        <row r="320">
          <cell r="A320" t="str">
            <v>320070-04</v>
          </cell>
          <cell r="B320" t="str">
            <v>BREAKFAST SALES</v>
          </cell>
        </row>
        <row r="321">
          <cell r="A321" t="str">
            <v>320070-09</v>
          </cell>
          <cell r="B321" t="str">
            <v>BREAKFAST SALES</v>
          </cell>
        </row>
        <row r="322">
          <cell r="A322" t="str">
            <v>320070-41</v>
          </cell>
          <cell r="B322" t="str">
            <v>TICKET SALES-OTHER</v>
          </cell>
        </row>
        <row r="323">
          <cell r="A323" t="str">
            <v>320070-51</v>
          </cell>
          <cell r="B323" t="str">
            <v>BREAKFAST SALES</v>
          </cell>
        </row>
        <row r="324">
          <cell r="A324" t="str">
            <v>320071-04</v>
          </cell>
          <cell r="B324" t="str">
            <v>LUNCH SALES</v>
          </cell>
        </row>
        <row r="325">
          <cell r="A325" t="str">
            <v>320071-09</v>
          </cell>
          <cell r="B325" t="str">
            <v>LUNCH SALES</v>
          </cell>
        </row>
        <row r="326">
          <cell r="A326" t="str">
            <v>320071-51</v>
          </cell>
          <cell r="B326" t="str">
            <v>LUNCH SALES</v>
          </cell>
        </row>
        <row r="327">
          <cell r="A327" t="str">
            <v>320072-04</v>
          </cell>
          <cell r="B327" t="str">
            <v>DINNER SALES</v>
          </cell>
        </row>
        <row r="328">
          <cell r="A328" t="str">
            <v>320072-09</v>
          </cell>
          <cell r="B328" t="str">
            <v>LUNCH SALES</v>
          </cell>
        </row>
        <row r="329">
          <cell r="A329" t="str">
            <v>320072-51</v>
          </cell>
          <cell r="B329" t="str">
            <v>DINNER SALES</v>
          </cell>
        </row>
        <row r="330">
          <cell r="A330" t="str">
            <v>320073-04</v>
          </cell>
          <cell r="B330" t="str">
            <v>BRUNCH SALES</v>
          </cell>
        </row>
        <row r="331">
          <cell r="A331" t="str">
            <v>320074-04</v>
          </cell>
          <cell r="B331" t="str">
            <v>OTHER FOOD SALES</v>
          </cell>
        </row>
        <row r="332">
          <cell r="A332" t="str">
            <v>320074-10</v>
          </cell>
          <cell r="B332" t="str">
            <v>OTHER FOOD SALES</v>
          </cell>
        </row>
        <row r="333">
          <cell r="A333" t="str">
            <v>320074-36</v>
          </cell>
          <cell r="B333" t="str">
            <v>FOOD SALES</v>
          </cell>
        </row>
        <row r="334">
          <cell r="A334" t="str">
            <v>320074-51</v>
          </cell>
          <cell r="B334" t="str">
            <v>FOOD SALES</v>
          </cell>
        </row>
        <row r="335">
          <cell r="A335" t="str">
            <v>320074-83</v>
          </cell>
          <cell r="B335" t="str">
            <v>FOOD SALES</v>
          </cell>
        </row>
        <row r="336">
          <cell r="A336" t="str">
            <v>320075-04</v>
          </cell>
          <cell r="B336" t="str">
            <v>EXECUTIVE DINING CLUB</v>
          </cell>
        </row>
        <row r="337">
          <cell r="A337" t="str">
            <v>320076-10</v>
          </cell>
          <cell r="B337" t="str">
            <v>BREAKFAST SALES</v>
          </cell>
        </row>
        <row r="338">
          <cell r="A338" t="str">
            <v>320077-10</v>
          </cell>
          <cell r="B338" t="str">
            <v>LUNCH SALES</v>
          </cell>
        </row>
        <row r="339">
          <cell r="A339" t="str">
            <v>320078-10</v>
          </cell>
          <cell r="B339" t="str">
            <v>DINNER SALES</v>
          </cell>
        </row>
        <row r="340">
          <cell r="A340" t="str">
            <v>320079-10</v>
          </cell>
          <cell r="B340" t="str">
            <v>RECEPTION SALES</v>
          </cell>
        </row>
        <row r="341">
          <cell r="A341" t="str">
            <v>320080-02</v>
          </cell>
          <cell r="B341" t="str">
            <v>GUARANTEED NO SHOW REVENUES</v>
          </cell>
        </row>
        <row r="342">
          <cell r="A342" t="str">
            <v>320080-10</v>
          </cell>
          <cell r="B342" t="str">
            <v>COFFEE BREAK</v>
          </cell>
        </row>
        <row r="343">
          <cell r="A343" t="str">
            <v>320081-04</v>
          </cell>
          <cell r="B343" t="str">
            <v>CIGARETTE SALES</v>
          </cell>
        </row>
        <row r="344">
          <cell r="A344" t="str">
            <v>320081-10</v>
          </cell>
          <cell r="B344" t="str">
            <v>CIGARETTE SALES</v>
          </cell>
        </row>
        <row r="345">
          <cell r="A345" t="str">
            <v>320081-11</v>
          </cell>
          <cell r="B345" t="str">
            <v>CIGARETTE SALES</v>
          </cell>
        </row>
        <row r="346">
          <cell r="A346" t="str">
            <v>320081-61</v>
          </cell>
          <cell r="B346" t="str">
            <v>CIGARETTE SALES</v>
          </cell>
        </row>
        <row r="347">
          <cell r="A347" t="str">
            <v>320082-09</v>
          </cell>
          <cell r="B347" t="str">
            <v>BREAKFAST SALES</v>
          </cell>
        </row>
        <row r="348">
          <cell r="A348" t="str">
            <v>320083-09</v>
          </cell>
          <cell r="B348" t="str">
            <v>LUNCH SALES</v>
          </cell>
        </row>
        <row r="349">
          <cell r="A349" t="str">
            <v>320084-09</v>
          </cell>
          <cell r="B349" t="str">
            <v>DINNER SALES</v>
          </cell>
        </row>
        <row r="350">
          <cell r="A350" t="str">
            <v>320085-09</v>
          </cell>
          <cell r="B350" t="str">
            <v>OTHER FOOD SALES</v>
          </cell>
        </row>
        <row r="351">
          <cell r="A351" t="str">
            <v>320086-13</v>
          </cell>
          <cell r="B351" t="str">
            <v>BEER SALES</v>
          </cell>
        </row>
        <row r="352">
          <cell r="A352" t="str">
            <v>320087-13</v>
          </cell>
          <cell r="B352" t="str">
            <v>WINE SALES</v>
          </cell>
        </row>
        <row r="353">
          <cell r="A353" t="str">
            <v>320088-13</v>
          </cell>
          <cell r="B353" t="str">
            <v>LIQUOR SALES</v>
          </cell>
        </row>
        <row r="354">
          <cell r="A354" t="str">
            <v>320089-13</v>
          </cell>
          <cell r="B354" t="str">
            <v>BANQUET SOFT SALES</v>
          </cell>
        </row>
        <row r="355">
          <cell r="A355" t="str">
            <v>320090-11</v>
          </cell>
          <cell r="B355" t="str">
            <v>BEER SALES</v>
          </cell>
        </row>
        <row r="356">
          <cell r="A356" t="str">
            <v>320091-02</v>
          </cell>
          <cell r="B356" t="str">
            <v>CONDO OWNERS DISTRIBUTION</v>
          </cell>
        </row>
        <row r="357">
          <cell r="A357" t="str">
            <v>320091-11</v>
          </cell>
          <cell r="B357" t="str">
            <v>WINE SALES</v>
          </cell>
        </row>
        <row r="358">
          <cell r="A358" t="str">
            <v>320092-11</v>
          </cell>
          <cell r="B358" t="str">
            <v>LIQUOR SALES</v>
          </cell>
        </row>
        <row r="359">
          <cell r="A359" t="str">
            <v>320093-11</v>
          </cell>
          <cell r="B359" t="str">
            <v>SOFT SALES</v>
          </cell>
        </row>
        <row r="360">
          <cell r="A360" t="str">
            <v>320094-13</v>
          </cell>
          <cell r="B360" t="str">
            <v>WEDDING SALES</v>
          </cell>
        </row>
        <row r="361">
          <cell r="A361" t="str">
            <v>320095-02</v>
          </cell>
          <cell r="B361" t="str">
            <v>CUSTOMER SATISFACTION</v>
          </cell>
        </row>
        <row r="362">
          <cell r="A362" t="str">
            <v>320095-04</v>
          </cell>
          <cell r="B362" t="str">
            <v>CUSTOMER SATISFACTION</v>
          </cell>
        </row>
        <row r="363">
          <cell r="A363" t="str">
            <v>320095-09</v>
          </cell>
          <cell r="B363" t="str">
            <v>CUSTOMER SATISFACTION</v>
          </cell>
        </row>
        <row r="364">
          <cell r="A364" t="str">
            <v>320095-10</v>
          </cell>
          <cell r="B364" t="str">
            <v>CUSTOMER SATISFACTION</v>
          </cell>
        </row>
        <row r="365">
          <cell r="A365" t="str">
            <v>320095-11</v>
          </cell>
          <cell r="B365" t="str">
            <v>CUSTOMER SATISFACTION</v>
          </cell>
        </row>
        <row r="366">
          <cell r="A366" t="str">
            <v>320095-13</v>
          </cell>
          <cell r="B366" t="str">
            <v>CUSTOMER SATISFACTION</v>
          </cell>
        </row>
        <row r="367">
          <cell r="A367" t="str">
            <v>320095-14</v>
          </cell>
          <cell r="B367" t="str">
            <v>CUSTOMER SATISFACTION</v>
          </cell>
        </row>
        <row r="368">
          <cell r="A368" t="str">
            <v>320095-34</v>
          </cell>
          <cell r="B368" t="str">
            <v>CUSTOMER SATISFACTION</v>
          </cell>
        </row>
        <row r="369">
          <cell r="A369" t="str">
            <v>320095-35</v>
          </cell>
          <cell r="B369" t="str">
            <v>CUSTOMER SATISFACTION</v>
          </cell>
        </row>
        <row r="370">
          <cell r="A370" t="str">
            <v>320095-83</v>
          </cell>
          <cell r="B370" t="str">
            <v>CUSTOMER SATISFACTION</v>
          </cell>
        </row>
        <row r="371">
          <cell r="A371" t="str">
            <v>320097-04</v>
          </cell>
          <cell r="B371" t="str">
            <v>ALLOWANCE-DINING CLUB</v>
          </cell>
        </row>
        <row r="372">
          <cell r="A372" t="str">
            <v>320097-10</v>
          </cell>
          <cell r="B372" t="str">
            <v>ALLOWANCE-DINING CLUB</v>
          </cell>
        </row>
        <row r="373">
          <cell r="A373" t="str">
            <v>320098-13</v>
          </cell>
          <cell r="B373" t="str">
            <v>BEVERAGE ALLOWANCES</v>
          </cell>
        </row>
        <row r="374">
          <cell r="A374" t="str">
            <v>320098-14</v>
          </cell>
          <cell r="B374" t="str">
            <v>BEVERAGE ALLOWANCES</v>
          </cell>
        </row>
        <row r="375">
          <cell r="A375" t="str">
            <v>320098-61</v>
          </cell>
          <cell r="B375" t="str">
            <v>BEVERAGE ALLOWANCES</v>
          </cell>
        </row>
        <row r="376">
          <cell r="A376" t="str">
            <v>320099-03</v>
          </cell>
          <cell r="B376" t="str">
            <v>FOOD ALLOWANCES</v>
          </cell>
        </row>
        <row r="377">
          <cell r="A377" t="str">
            <v>320099-04</v>
          </cell>
          <cell r="B377" t="str">
            <v>FOOD SALES ALLOWANCES</v>
          </cell>
        </row>
        <row r="378">
          <cell r="A378" t="str">
            <v>320099-09</v>
          </cell>
          <cell r="B378" t="str">
            <v>FOOD SALES ALLOWANCES</v>
          </cell>
        </row>
        <row r="379">
          <cell r="A379" t="str">
            <v>320099-10</v>
          </cell>
          <cell r="B379" t="str">
            <v>FOOD SALES ALLOWANCES</v>
          </cell>
        </row>
        <row r="380">
          <cell r="A380" t="str">
            <v>320099-41</v>
          </cell>
          <cell r="B380" t="str">
            <v>EMPLOYEE DISCOUNT</v>
          </cell>
        </row>
        <row r="381">
          <cell r="A381" t="str">
            <v>320099-51</v>
          </cell>
          <cell r="B381" t="str">
            <v>FOOD SALES ALLOWANCES</v>
          </cell>
        </row>
        <row r="382">
          <cell r="A382" t="str">
            <v>320099-83</v>
          </cell>
          <cell r="B382" t="str">
            <v>EMPLOYEE DISCOUNT</v>
          </cell>
        </row>
        <row r="383">
          <cell r="A383" t="str">
            <v>321001-35</v>
          </cell>
          <cell r="B383" t="str">
            <v>CANCELLATION FEE</v>
          </cell>
        </row>
        <row r="384">
          <cell r="A384" t="str">
            <v>321013-34</v>
          </cell>
          <cell r="B384" t="str">
            <v>INTERNET REVENUE</v>
          </cell>
        </row>
        <row r="385">
          <cell r="A385" t="str">
            <v>321013-35</v>
          </cell>
          <cell r="B385" t="str">
            <v>INTERNET REVENUE</v>
          </cell>
        </row>
        <row r="386">
          <cell r="A386" t="str">
            <v>321015-02</v>
          </cell>
          <cell r="B386" t="str">
            <v>CONTRACT REVENUE</v>
          </cell>
        </row>
        <row r="387">
          <cell r="A387" t="str">
            <v>321030-36</v>
          </cell>
          <cell r="B387" t="str">
            <v>FACIALS</v>
          </cell>
        </row>
        <row r="388">
          <cell r="A388" t="str">
            <v>321031-36</v>
          </cell>
          <cell r="B388" t="str">
            <v>BODY WRAPS</v>
          </cell>
        </row>
        <row r="389">
          <cell r="A389" t="str">
            <v>321032-36</v>
          </cell>
          <cell r="B389" t="str">
            <v>AROMATHERAPY</v>
          </cell>
        </row>
        <row r="390">
          <cell r="A390" t="str">
            <v>321033-36</v>
          </cell>
          <cell r="B390" t="str">
            <v>WAXING</v>
          </cell>
        </row>
        <row r="391">
          <cell r="A391" t="str">
            <v>321034-36</v>
          </cell>
          <cell r="B391" t="str">
            <v>OTHER BODY SERVICES</v>
          </cell>
        </row>
        <row r="392">
          <cell r="A392" t="str">
            <v>321035-36</v>
          </cell>
          <cell r="B392" t="str">
            <v>PERSONAL TRAINING</v>
          </cell>
        </row>
        <row r="393">
          <cell r="A393" t="str">
            <v>321045-36</v>
          </cell>
          <cell r="B393" t="str">
            <v>SPA PACKAGES</v>
          </cell>
        </row>
        <row r="394">
          <cell r="A394" t="str">
            <v>321050-83</v>
          </cell>
          <cell r="B394" t="str">
            <v>STARBUCKS SALES</v>
          </cell>
        </row>
        <row r="395">
          <cell r="A395" t="str">
            <v>399993-03</v>
          </cell>
          <cell r="B395" t="str">
            <v>NET FOOD SALES</v>
          </cell>
        </row>
        <row r="396">
          <cell r="A396" t="str">
            <v>399993-04</v>
          </cell>
          <cell r="B396" t="str">
            <v>NET FOOD SALES</v>
          </cell>
        </row>
        <row r="397">
          <cell r="A397" t="str">
            <v>399993-09</v>
          </cell>
          <cell r="B397" t="str">
            <v>NET FOOD SALES</v>
          </cell>
        </row>
        <row r="398">
          <cell r="A398" t="str">
            <v>399993-10</v>
          </cell>
          <cell r="B398" t="str">
            <v>NET FOOD SALES</v>
          </cell>
        </row>
        <row r="399">
          <cell r="A399" t="str">
            <v>399994-03</v>
          </cell>
          <cell r="B399" t="str">
            <v>OTHER FOOD REVENUE</v>
          </cell>
        </row>
        <row r="400">
          <cell r="A400" t="str">
            <v>399994-04</v>
          </cell>
          <cell r="B400" t="str">
            <v>OTHER FOOD REVENUE</v>
          </cell>
        </row>
        <row r="401">
          <cell r="A401" t="str">
            <v>399994-09</v>
          </cell>
          <cell r="B401" t="str">
            <v>OTHER FOOD REVENUE</v>
          </cell>
        </row>
        <row r="402">
          <cell r="A402" t="str">
            <v>399994-10</v>
          </cell>
          <cell r="B402" t="str">
            <v>OTHER FOOD REVENUE</v>
          </cell>
        </row>
        <row r="403">
          <cell r="A403" t="str">
            <v>399996-11</v>
          </cell>
          <cell r="B403" t="str">
            <v>NET BEVERAGE SALES</v>
          </cell>
        </row>
        <row r="404">
          <cell r="A404" t="str">
            <v>399996-12</v>
          </cell>
          <cell r="B404" t="str">
            <v>NET BEVERAGE SALES</v>
          </cell>
        </row>
        <row r="405">
          <cell r="A405" t="str">
            <v>399996-13</v>
          </cell>
          <cell r="B405" t="str">
            <v>NET BEVERAGE SALES</v>
          </cell>
        </row>
        <row r="406">
          <cell r="A406" t="str">
            <v>420001-03</v>
          </cell>
          <cell r="B406" t="str">
            <v>C/S FOOD</v>
          </cell>
        </row>
        <row r="407">
          <cell r="A407" t="str">
            <v>420001-10</v>
          </cell>
          <cell r="B407" t="str">
            <v>C/S FOOD</v>
          </cell>
        </row>
        <row r="408">
          <cell r="A408" t="str">
            <v>420001-36</v>
          </cell>
          <cell r="B408" t="str">
            <v>COST OF FOOD</v>
          </cell>
        </row>
        <row r="409">
          <cell r="A409" t="str">
            <v>420001-41</v>
          </cell>
          <cell r="B409" t="str">
            <v>OTHER SALES COSTS</v>
          </cell>
        </row>
        <row r="410">
          <cell r="A410" t="str">
            <v>420001-51</v>
          </cell>
          <cell r="B410" t="str">
            <v>OTHER SALES COSTS</v>
          </cell>
        </row>
        <row r="411">
          <cell r="A411" t="str">
            <v>420002-03</v>
          </cell>
          <cell r="B411" t="str">
            <v>C/S EXEC DINING CLUB</v>
          </cell>
        </row>
        <row r="412">
          <cell r="A412" t="str">
            <v>420003-03</v>
          </cell>
          <cell r="B412" t="str">
            <v>C/S FOOD-SERVI BAR</v>
          </cell>
        </row>
        <row r="413">
          <cell r="A413" t="str">
            <v>420004-03</v>
          </cell>
          <cell r="B413" t="str">
            <v>COST OF SALES CIGARETTES</v>
          </cell>
        </row>
        <row r="414">
          <cell r="A414" t="str">
            <v>420004-13</v>
          </cell>
          <cell r="B414" t="str">
            <v>C/S BEVERAGE</v>
          </cell>
        </row>
        <row r="415">
          <cell r="A415" t="str">
            <v>420005-03</v>
          </cell>
          <cell r="B415" t="str">
            <v>FOOD COST REBATE</v>
          </cell>
        </row>
        <row r="416">
          <cell r="A416" t="str">
            <v>420006-03</v>
          </cell>
          <cell r="B416" t="str">
            <v>CUSTOMS/FREIGHT</v>
          </cell>
        </row>
        <row r="417">
          <cell r="A417" t="str">
            <v>420006-10</v>
          </cell>
          <cell r="B417" t="str">
            <v>C/S MISC. OTHER REVENUE</v>
          </cell>
        </row>
        <row r="418">
          <cell r="A418" t="str">
            <v>420006-12</v>
          </cell>
          <cell r="B418" t="str">
            <v>C/S CUSTOM/FREIGHT</v>
          </cell>
        </row>
        <row r="419">
          <cell r="A419" t="str">
            <v>420007-34</v>
          </cell>
          <cell r="B419" t="str">
            <v>C/S LOCAL FLAT</v>
          </cell>
        </row>
        <row r="420">
          <cell r="A420" t="str">
            <v>420008-34</v>
          </cell>
          <cell r="B420" t="str">
            <v>C/S LONG DIST WATS</v>
          </cell>
        </row>
        <row r="421">
          <cell r="A421" t="str">
            <v>420009-34</v>
          </cell>
          <cell r="B421" t="str">
            <v>C/S EQUIPMENT</v>
          </cell>
        </row>
        <row r="422">
          <cell r="A422" t="str">
            <v>420010-03</v>
          </cell>
          <cell r="B422" t="str">
            <v>C/S EMP MEAL FOOD</v>
          </cell>
        </row>
        <row r="423">
          <cell r="A423" t="str">
            <v>420011-34</v>
          </cell>
          <cell r="B423" t="str">
            <v>C/S STATE TAX</v>
          </cell>
        </row>
        <row r="424">
          <cell r="A424" t="str">
            <v>420011-35</v>
          </cell>
          <cell r="B424" t="str">
            <v>C/S OTHER SERVICES</v>
          </cell>
        </row>
        <row r="425">
          <cell r="A425" t="str">
            <v>420012-34</v>
          </cell>
          <cell r="B425" t="str">
            <v>C/S FEDERAL TAX</v>
          </cell>
        </row>
        <row r="426">
          <cell r="A426" t="str">
            <v>420012-35</v>
          </cell>
          <cell r="B426" t="str">
            <v>C/S FAX</v>
          </cell>
        </row>
        <row r="427">
          <cell r="A427" t="str">
            <v>420014-35</v>
          </cell>
          <cell r="B427" t="str">
            <v>C/S COATCHECK</v>
          </cell>
        </row>
        <row r="428">
          <cell r="A428" t="str">
            <v>420015-35</v>
          </cell>
          <cell r="B428" t="str">
            <v>C/S-CONCESSION/VENDING</v>
          </cell>
        </row>
        <row r="429">
          <cell r="A429" t="str">
            <v>420017-34</v>
          </cell>
          <cell r="B429" t="str">
            <v>C/S MESSAGE UNITS</v>
          </cell>
        </row>
        <row r="430">
          <cell r="A430" t="str">
            <v>420018-34</v>
          </cell>
          <cell r="B430" t="str">
            <v>C/S MEASURED SERVICE</v>
          </cell>
        </row>
        <row r="431">
          <cell r="A431" t="str">
            <v>420019-34</v>
          </cell>
          <cell r="B431" t="str">
            <v>C/S LONG DIST DIAL 1</v>
          </cell>
        </row>
        <row r="432">
          <cell r="A432" t="str">
            <v>420020-34</v>
          </cell>
          <cell r="B432" t="str">
            <v>C/S LONG DIST DIRECT</v>
          </cell>
        </row>
        <row r="433">
          <cell r="A433" t="str">
            <v>420021-34</v>
          </cell>
          <cell r="B433" t="str">
            <v>C/S LONG DIST HOBIC</v>
          </cell>
        </row>
        <row r="434">
          <cell r="A434" t="str">
            <v>420021-35</v>
          </cell>
          <cell r="B434" t="str">
            <v>C/S GOLF INCOME</v>
          </cell>
        </row>
        <row r="435">
          <cell r="A435" t="str">
            <v>420029-35</v>
          </cell>
          <cell r="B435" t="str">
            <v>C/S GARAGE</v>
          </cell>
        </row>
        <row r="436">
          <cell r="A436" t="str">
            <v>420030-35</v>
          </cell>
          <cell r="B436" t="str">
            <v>C/S LAUNDRY</v>
          </cell>
        </row>
        <row r="437">
          <cell r="A437" t="str">
            <v>420031-35</v>
          </cell>
          <cell r="B437" t="str">
            <v>C/S SALES VALET</v>
          </cell>
        </row>
        <row r="438">
          <cell r="A438" t="str">
            <v>420033-34</v>
          </cell>
          <cell r="B438" t="str">
            <v>C/S EQUIPMENT RENTAL</v>
          </cell>
        </row>
        <row r="439">
          <cell r="A439" t="str">
            <v>420035-35</v>
          </cell>
          <cell r="B439" t="str">
            <v>C/S MOVIES</v>
          </cell>
        </row>
        <row r="440">
          <cell r="A440" t="str">
            <v>420037-03</v>
          </cell>
          <cell r="B440" t="str">
            <v>C/S AUDIO VISUAL</v>
          </cell>
        </row>
        <row r="441">
          <cell r="A441" t="str">
            <v>420037-10</v>
          </cell>
          <cell r="B441" t="str">
            <v>C/S AUDIO VISUAL</v>
          </cell>
        </row>
        <row r="442">
          <cell r="A442" t="str">
            <v>420037-35</v>
          </cell>
          <cell r="B442" t="str">
            <v>C/S AUDIO VISUAL</v>
          </cell>
        </row>
        <row r="443">
          <cell r="A443" t="str">
            <v>420039-35</v>
          </cell>
          <cell r="B443" t="str">
            <v>C/S PHOTOCOPY</v>
          </cell>
        </row>
        <row r="444">
          <cell r="A444" t="str">
            <v>420040-35</v>
          </cell>
          <cell r="B444" t="str">
            <v>C/S ATTRACTION TICKETS</v>
          </cell>
        </row>
        <row r="445">
          <cell r="A445" t="str">
            <v>420040-41</v>
          </cell>
          <cell r="B445" t="str">
            <v>C/S FOOD</v>
          </cell>
        </row>
        <row r="446">
          <cell r="A446" t="str">
            <v>420041-11</v>
          </cell>
          <cell r="B446" t="str">
            <v>C/S BEER</v>
          </cell>
        </row>
        <row r="447">
          <cell r="A447" t="str">
            <v>420041-12</v>
          </cell>
          <cell r="B447" t="str">
            <v>C/S- BEER</v>
          </cell>
        </row>
        <row r="448">
          <cell r="A448" t="str">
            <v>420041-13</v>
          </cell>
          <cell r="B448" t="str">
            <v>C/S BEER</v>
          </cell>
        </row>
        <row r="449">
          <cell r="A449" t="str">
            <v>420041-14</v>
          </cell>
          <cell r="B449" t="str">
            <v>C/S BEER</v>
          </cell>
        </row>
        <row r="450">
          <cell r="A450" t="str">
            <v>420041-61</v>
          </cell>
          <cell r="B450" t="str">
            <v>C/S BEER</v>
          </cell>
        </row>
        <row r="451">
          <cell r="A451" t="str">
            <v>420042-11</v>
          </cell>
          <cell r="B451" t="str">
            <v>C/S WINE</v>
          </cell>
        </row>
        <row r="452">
          <cell r="A452" t="str">
            <v>420042-12</v>
          </cell>
          <cell r="B452" t="str">
            <v>C/S- WINE</v>
          </cell>
        </row>
        <row r="453">
          <cell r="A453" t="str">
            <v>420042-13</v>
          </cell>
          <cell r="B453" t="str">
            <v>C/S WINE</v>
          </cell>
        </row>
        <row r="454">
          <cell r="A454" t="str">
            <v>420042-14</v>
          </cell>
          <cell r="B454" t="str">
            <v>C/S WINE</v>
          </cell>
        </row>
        <row r="455">
          <cell r="A455" t="str">
            <v>420042-61</v>
          </cell>
          <cell r="B455" t="str">
            <v>C/S WINE</v>
          </cell>
        </row>
        <row r="456">
          <cell r="A456" t="str">
            <v>420043-11</v>
          </cell>
          <cell r="B456" t="str">
            <v>C/S LIQUOR</v>
          </cell>
        </row>
        <row r="457">
          <cell r="A457" t="str">
            <v>420043-12</v>
          </cell>
          <cell r="B457" t="str">
            <v>C/S- LIQUOR</v>
          </cell>
        </row>
        <row r="458">
          <cell r="A458" t="str">
            <v>420043-13</v>
          </cell>
          <cell r="B458" t="str">
            <v>C/S LIQUOR</v>
          </cell>
        </row>
        <row r="459">
          <cell r="A459" t="str">
            <v>420043-14</v>
          </cell>
          <cell r="B459" t="str">
            <v>C/S LIQUOR</v>
          </cell>
        </row>
        <row r="460">
          <cell r="A460" t="str">
            <v>420043-61</v>
          </cell>
          <cell r="B460" t="str">
            <v>C/S LIQUOR</v>
          </cell>
        </row>
        <row r="461">
          <cell r="A461" t="str">
            <v>420044-12</v>
          </cell>
          <cell r="B461" t="str">
            <v>C/S- SOFT</v>
          </cell>
        </row>
        <row r="462">
          <cell r="A462" t="str">
            <v>420044-61</v>
          </cell>
          <cell r="B462" t="str">
            <v>C/S SOFT</v>
          </cell>
        </row>
        <row r="463">
          <cell r="A463" t="str">
            <v>420045-12</v>
          </cell>
          <cell r="B463" t="str">
            <v>C/S- SERVI BAR</v>
          </cell>
        </row>
        <row r="464">
          <cell r="A464" t="str">
            <v>420050-41</v>
          </cell>
          <cell r="B464" t="str">
            <v>C/S BOTTLE SALES</v>
          </cell>
        </row>
        <row r="465">
          <cell r="A465" t="str">
            <v>420051-36</v>
          </cell>
          <cell r="B465" t="str">
            <v>C/S APPAREL</v>
          </cell>
        </row>
        <row r="466">
          <cell r="A466" t="str">
            <v>420051-41</v>
          </cell>
          <cell r="B466" t="str">
            <v>C/S APPAREL</v>
          </cell>
        </row>
        <row r="467">
          <cell r="A467" t="str">
            <v>420052-41</v>
          </cell>
          <cell r="B467" t="str">
            <v>C/S MEN'S CLOTHING</v>
          </cell>
        </row>
        <row r="468">
          <cell r="A468" t="str">
            <v>420053-36</v>
          </cell>
          <cell r="B468" t="str">
            <v>C/S-GIFTS</v>
          </cell>
        </row>
        <row r="469">
          <cell r="A469" t="str">
            <v>420053-41</v>
          </cell>
          <cell r="B469" t="str">
            <v>C/S GIFTS/SOUVENIERS</v>
          </cell>
        </row>
        <row r="470">
          <cell r="A470" t="str">
            <v>420054-41</v>
          </cell>
          <cell r="B470" t="str">
            <v>C/S JEWELRY/ACCESSORIES</v>
          </cell>
        </row>
        <row r="471">
          <cell r="A471" t="str">
            <v>420055-11</v>
          </cell>
          <cell r="B471" t="str">
            <v>C/S-TOBACCO</v>
          </cell>
        </row>
        <row r="472">
          <cell r="A472" t="str">
            <v>420055-12</v>
          </cell>
          <cell r="B472" t="str">
            <v>C/S-TOBACCO</v>
          </cell>
        </row>
        <row r="473">
          <cell r="A473" t="str">
            <v>420055-41</v>
          </cell>
          <cell r="B473" t="str">
            <v>C/S TOBACCO</v>
          </cell>
        </row>
        <row r="474">
          <cell r="A474" t="str">
            <v>420055-61</v>
          </cell>
          <cell r="B474" t="str">
            <v>C/S-TOBACCO</v>
          </cell>
        </row>
        <row r="475">
          <cell r="A475" t="str">
            <v>420056-41</v>
          </cell>
          <cell r="B475" t="str">
            <v>C/S PAPAER GOODS</v>
          </cell>
        </row>
        <row r="476">
          <cell r="A476" t="str">
            <v>420057-41</v>
          </cell>
          <cell r="B476" t="str">
            <v>C/S CANDY</v>
          </cell>
        </row>
        <row r="477">
          <cell r="A477" t="str">
            <v>420058-36</v>
          </cell>
          <cell r="B477" t="str">
            <v>C/S-SUNDRIES</v>
          </cell>
        </row>
        <row r="478">
          <cell r="A478" t="str">
            <v>420058-41</v>
          </cell>
          <cell r="B478" t="str">
            <v>C/S SUNDRY</v>
          </cell>
        </row>
        <row r="479">
          <cell r="A479" t="str">
            <v>420059-36</v>
          </cell>
          <cell r="B479" t="str">
            <v>C/S-HEADWEAR</v>
          </cell>
        </row>
        <row r="480">
          <cell r="A480" t="str">
            <v>420059-41</v>
          </cell>
          <cell r="B480" t="str">
            <v>C/S MISCELLANEOUS</v>
          </cell>
        </row>
        <row r="481">
          <cell r="A481" t="str">
            <v>420059-83</v>
          </cell>
          <cell r="B481" t="str">
            <v>COST OF SALES - MISCELLANEOUS</v>
          </cell>
        </row>
        <row r="482">
          <cell r="A482" t="str">
            <v>420060-41</v>
          </cell>
          <cell r="B482" t="str">
            <v>C/S IMPRINTS</v>
          </cell>
        </row>
        <row r="483">
          <cell r="A483" t="str">
            <v>420061-41</v>
          </cell>
          <cell r="B483" t="str">
            <v>C/S TICKET SLS-DISNEY</v>
          </cell>
        </row>
        <row r="484">
          <cell r="A484" t="str">
            <v>420062-41</v>
          </cell>
          <cell r="B484" t="str">
            <v>C/S ATTRACT TICKETS</v>
          </cell>
        </row>
        <row r="485">
          <cell r="A485" t="str">
            <v>420067-35</v>
          </cell>
          <cell r="B485" t="str">
            <v>C/S- HEALTH CLUB</v>
          </cell>
        </row>
        <row r="486">
          <cell r="A486" t="str">
            <v>420067-36</v>
          </cell>
          <cell r="B486" t="str">
            <v>COST OF SALES- MERCH.</v>
          </cell>
        </row>
        <row r="487">
          <cell r="A487" t="str">
            <v>420070-41</v>
          </cell>
          <cell r="B487" t="str">
            <v>C/S TICKET SLS-OTHER</v>
          </cell>
        </row>
        <row r="488">
          <cell r="A488" t="str">
            <v>420074-83</v>
          </cell>
          <cell r="B488" t="str">
            <v>COST OF SALES - FOOD</v>
          </cell>
        </row>
        <row r="489">
          <cell r="A489" t="str">
            <v>421013-34</v>
          </cell>
          <cell r="B489" t="str">
            <v>C/S INTERNET</v>
          </cell>
        </row>
        <row r="490">
          <cell r="A490" t="str">
            <v>421050-83</v>
          </cell>
          <cell r="B490" t="str">
            <v>COST OF SALES - STARBUCKS</v>
          </cell>
        </row>
        <row r="491">
          <cell r="A491" t="str">
            <v>429901-03</v>
          </cell>
          <cell r="B491" t="str">
            <v>C/S FOOD BANQUETS</v>
          </cell>
        </row>
        <row r="492">
          <cell r="A492" t="str">
            <v>429999-03</v>
          </cell>
          <cell r="B492" t="str">
            <v>C/S BANQUET OTHER</v>
          </cell>
        </row>
        <row r="493">
          <cell r="A493" t="str">
            <v>499995-12</v>
          </cell>
          <cell r="B493" t="str">
            <v>C/S SERVI BAR</v>
          </cell>
        </row>
        <row r="494">
          <cell r="A494" t="str">
            <v>499996-12</v>
          </cell>
          <cell r="B494" t="str">
            <v>C/S -BANQUET BEVERAGE</v>
          </cell>
        </row>
        <row r="495">
          <cell r="A495" t="str">
            <v>499997-03</v>
          </cell>
          <cell r="B495" t="str">
            <v>NET FOOD COST</v>
          </cell>
        </row>
        <row r="496">
          <cell r="A496" t="str">
            <v>499997-12</v>
          </cell>
          <cell r="B496" t="str">
            <v>COST OF SALES BEVERAGE</v>
          </cell>
        </row>
        <row r="497">
          <cell r="A497" t="str">
            <v>499998-12</v>
          </cell>
          <cell r="B497" t="str">
            <v>COST OF SALES OTHER</v>
          </cell>
        </row>
        <row r="498">
          <cell r="A498" t="str">
            <v>500900-03</v>
          </cell>
          <cell r="B498" t="str">
            <v>MANAGER SALARIES</v>
          </cell>
        </row>
        <row r="499">
          <cell r="A499" t="str">
            <v>500900-12</v>
          </cell>
          <cell r="B499" t="str">
            <v>MANAGER</v>
          </cell>
        </row>
        <row r="500">
          <cell r="A500" t="str">
            <v>500901-03</v>
          </cell>
          <cell r="B500" t="str">
            <v>SECRETARIAL SALARY</v>
          </cell>
        </row>
        <row r="501">
          <cell r="A501" t="str">
            <v>500901-12</v>
          </cell>
          <cell r="B501" t="str">
            <v>WAITER/WAITRESS</v>
          </cell>
        </row>
        <row r="502">
          <cell r="A502" t="str">
            <v>500902-03</v>
          </cell>
          <cell r="B502" t="str">
            <v>CHEFS/SOUS CHEFS</v>
          </cell>
        </row>
        <row r="503">
          <cell r="A503" t="str">
            <v>500902-12</v>
          </cell>
          <cell r="B503" t="str">
            <v>BARTENDER</v>
          </cell>
        </row>
        <row r="504">
          <cell r="A504" t="str">
            <v>500903-03</v>
          </cell>
          <cell r="B504" t="str">
            <v>COOKS</v>
          </cell>
        </row>
        <row r="505">
          <cell r="A505" t="str">
            <v>500903-12</v>
          </cell>
          <cell r="B505" t="str">
            <v>BARBACKS</v>
          </cell>
        </row>
        <row r="506">
          <cell r="A506" t="str">
            <v>500904-03</v>
          </cell>
          <cell r="B506" t="str">
            <v>PANTRY</v>
          </cell>
        </row>
        <row r="507">
          <cell r="A507" t="str">
            <v>500904-12</v>
          </cell>
          <cell r="B507" t="str">
            <v>HOSTS/CASHIERS</v>
          </cell>
        </row>
        <row r="508">
          <cell r="A508" t="str">
            <v>500905-03</v>
          </cell>
          <cell r="B508" t="str">
            <v>EXPEDITORS</v>
          </cell>
        </row>
        <row r="509">
          <cell r="A509" t="str">
            <v>500906-03</v>
          </cell>
          <cell r="B509" t="str">
            <v>HOST/CAPTAIN/CASHIER</v>
          </cell>
        </row>
        <row r="510">
          <cell r="A510" t="str">
            <v>500907-03</v>
          </cell>
          <cell r="B510" t="str">
            <v>SERVERS</v>
          </cell>
        </row>
        <row r="511">
          <cell r="A511" t="str">
            <v>500908-03</v>
          </cell>
          <cell r="B511" t="str">
            <v>BUSPERSON</v>
          </cell>
        </row>
        <row r="512">
          <cell r="A512" t="str">
            <v>500909-03</v>
          </cell>
          <cell r="B512" t="str">
            <v>UTILITY</v>
          </cell>
        </row>
        <row r="513">
          <cell r="A513" t="str">
            <v>500910-03</v>
          </cell>
          <cell r="B513" t="str">
            <v>HOUSEPERSONS</v>
          </cell>
        </row>
        <row r="514">
          <cell r="A514" t="str">
            <v>500911-03</v>
          </cell>
          <cell r="B514" t="str">
            <v>CATERING SALES</v>
          </cell>
        </row>
        <row r="515">
          <cell r="A515" t="str">
            <v>500912-03</v>
          </cell>
          <cell r="B515" t="str">
            <v>BAKERY</v>
          </cell>
        </row>
        <row r="516">
          <cell r="A516" t="str">
            <v>500913-03</v>
          </cell>
          <cell r="B516" t="str">
            <v>STEWARD/ASSISTANTS</v>
          </cell>
        </row>
        <row r="517">
          <cell r="A517" t="str">
            <v>500914-03</v>
          </cell>
          <cell r="B517" t="str">
            <v>BONUS PROVISION</v>
          </cell>
        </row>
        <row r="518">
          <cell r="A518" t="str">
            <v>500991-03</v>
          </cell>
          <cell r="B518" t="str">
            <v>SALES INCENTIVE</v>
          </cell>
        </row>
        <row r="519">
          <cell r="A519" t="str">
            <v>501001-02</v>
          </cell>
          <cell r="B519" t="str">
            <v>MANAGERS-FRONT OFFICE</v>
          </cell>
        </row>
        <row r="520">
          <cell r="A520" t="str">
            <v>501001-03</v>
          </cell>
          <cell r="B520" t="str">
            <v>MANAGERS IMPORT</v>
          </cell>
        </row>
        <row r="521">
          <cell r="A521" t="str">
            <v>501001-04</v>
          </cell>
          <cell r="B521" t="str">
            <v>MANAGERS</v>
          </cell>
        </row>
        <row r="522">
          <cell r="A522" t="str">
            <v>501001-09</v>
          </cell>
          <cell r="B522" t="str">
            <v>MANAGERS</v>
          </cell>
        </row>
        <row r="523">
          <cell r="A523" t="str">
            <v>501001-10</v>
          </cell>
          <cell r="B523" t="str">
            <v>MANAGERS</v>
          </cell>
        </row>
        <row r="524">
          <cell r="A524" t="str">
            <v>501001-12</v>
          </cell>
          <cell r="B524" t="str">
            <v>MANAGER IMPORT</v>
          </cell>
        </row>
        <row r="525">
          <cell r="A525" t="str">
            <v>501001-14</v>
          </cell>
          <cell r="B525" t="str">
            <v>BAR MANAGER</v>
          </cell>
        </row>
        <row r="526">
          <cell r="A526" t="str">
            <v>501001-20</v>
          </cell>
          <cell r="B526" t="str">
            <v>MANAGERS</v>
          </cell>
        </row>
        <row r="527">
          <cell r="A527" t="str">
            <v>501001-22</v>
          </cell>
          <cell r="B527" t="str">
            <v>MANAGERS</v>
          </cell>
        </row>
        <row r="528">
          <cell r="A528" t="str">
            <v>501001-24</v>
          </cell>
          <cell r="B528" t="str">
            <v>MANAGERS</v>
          </cell>
        </row>
        <row r="529">
          <cell r="A529" t="str">
            <v>501001-27</v>
          </cell>
          <cell r="B529" t="str">
            <v>MANAGERS</v>
          </cell>
        </row>
        <row r="530">
          <cell r="A530" t="str">
            <v>501001-30</v>
          </cell>
          <cell r="B530" t="str">
            <v>MANAGERS</v>
          </cell>
        </row>
        <row r="531">
          <cell r="A531" t="str">
            <v>501001-34</v>
          </cell>
          <cell r="B531" t="str">
            <v>MANAGERS</v>
          </cell>
        </row>
        <row r="532">
          <cell r="A532" t="str">
            <v>501001-36</v>
          </cell>
          <cell r="B532" t="str">
            <v>MANAGERS</v>
          </cell>
        </row>
        <row r="533">
          <cell r="A533" t="str">
            <v>501001-38</v>
          </cell>
          <cell r="B533" t="str">
            <v>MANAGER</v>
          </cell>
        </row>
        <row r="534">
          <cell r="A534" t="str">
            <v>501001-41</v>
          </cell>
          <cell r="B534" t="str">
            <v>MANAGER</v>
          </cell>
        </row>
        <row r="535">
          <cell r="A535" t="str">
            <v>501001-51</v>
          </cell>
          <cell r="B535" t="str">
            <v>MANAGERS</v>
          </cell>
        </row>
        <row r="536">
          <cell r="A536" t="str">
            <v>501001-83</v>
          </cell>
          <cell r="B536" t="str">
            <v>MANAGER</v>
          </cell>
        </row>
        <row r="537">
          <cell r="A537" t="str">
            <v>501002-02</v>
          </cell>
          <cell r="B537" t="str">
            <v>GUEST SERVICE REPS</v>
          </cell>
        </row>
        <row r="538">
          <cell r="A538" t="str">
            <v>501002-30</v>
          </cell>
          <cell r="B538" t="str">
            <v>LCI TRAIN DOLLARS</v>
          </cell>
        </row>
        <row r="539">
          <cell r="A539" t="str">
            <v>501003-02</v>
          </cell>
          <cell r="B539" t="str">
            <v>GUEST SVCS RESERVATIONS</v>
          </cell>
        </row>
        <row r="540">
          <cell r="A540" t="str">
            <v>501003-24</v>
          </cell>
          <cell r="B540" t="str">
            <v>GUEST SVCS RESERVATIONS</v>
          </cell>
        </row>
        <row r="541">
          <cell r="A541" t="str">
            <v>501004-02</v>
          </cell>
          <cell r="B541" t="str">
            <v>ROOMS HSKP SUPERVISORS</v>
          </cell>
        </row>
        <row r="542">
          <cell r="A542" t="str">
            <v>501005-02</v>
          </cell>
          <cell r="B542" t="str">
            <v>HSKP ROOM CLEANER</v>
          </cell>
        </row>
        <row r="543">
          <cell r="A543" t="str">
            <v>501005-27</v>
          </cell>
          <cell r="B543" t="str">
            <v>TAILOR/SEAMSTRESS</v>
          </cell>
        </row>
        <row r="544">
          <cell r="A544" t="str">
            <v>501006-02</v>
          </cell>
          <cell r="B544" t="str">
            <v>PUBLIC SPACE CLEANERS</v>
          </cell>
        </row>
        <row r="545">
          <cell r="A545" t="str">
            <v>501006-27</v>
          </cell>
          <cell r="B545" t="str">
            <v>UNIFORM ROOM ATTENDANT</v>
          </cell>
        </row>
        <row r="546">
          <cell r="A546" t="str">
            <v>501007-02</v>
          </cell>
          <cell r="B546" t="str">
            <v>LINEN RUNNER</v>
          </cell>
        </row>
        <row r="547">
          <cell r="A547" t="str">
            <v>501008-27</v>
          </cell>
          <cell r="B547" t="str">
            <v>LAUNDRY PRODUCTION</v>
          </cell>
        </row>
        <row r="548">
          <cell r="A548" t="str">
            <v>501009-02</v>
          </cell>
          <cell r="B548" t="str">
            <v>BELL STAFF</v>
          </cell>
        </row>
        <row r="549">
          <cell r="A549" t="str">
            <v>501010-02</v>
          </cell>
          <cell r="B549" t="str">
            <v>CONCIERGE</v>
          </cell>
        </row>
        <row r="550">
          <cell r="A550" t="str">
            <v>501011-02</v>
          </cell>
          <cell r="B550" t="str">
            <v>NIGHT/TURNDN HSKPERS</v>
          </cell>
        </row>
        <row r="551">
          <cell r="A551" t="str">
            <v>501012-02</v>
          </cell>
          <cell r="B551" t="str">
            <v>LIMO DRIVER</v>
          </cell>
        </row>
        <row r="552">
          <cell r="A552" t="str">
            <v>501013-02</v>
          </cell>
          <cell r="B552" t="str">
            <v>VALET PARKING ATTENDANT</v>
          </cell>
        </row>
        <row r="553">
          <cell r="A553" t="str">
            <v>501013-03</v>
          </cell>
          <cell r="B553" t="str">
            <v>VALET PARKING ATTENDANT</v>
          </cell>
        </row>
        <row r="554">
          <cell r="A554" t="str">
            <v>501013-34</v>
          </cell>
          <cell r="B554" t="str">
            <v>OPERATORS</v>
          </cell>
        </row>
        <row r="555">
          <cell r="A555" t="str">
            <v>501014-41</v>
          </cell>
          <cell r="B555" t="str">
            <v>CLERK</v>
          </cell>
        </row>
        <row r="556">
          <cell r="A556" t="str">
            <v>501014-83</v>
          </cell>
          <cell r="B556" t="str">
            <v>CLERK</v>
          </cell>
        </row>
        <row r="557">
          <cell r="A557" t="str">
            <v>501015-02</v>
          </cell>
          <cell r="B557" t="str">
            <v>HSKP MANAGERS</v>
          </cell>
        </row>
        <row r="558">
          <cell r="A558" t="str">
            <v>501015-36</v>
          </cell>
          <cell r="B558" t="str">
            <v>ATTENDENTS</v>
          </cell>
        </row>
        <row r="559">
          <cell r="A559" t="str">
            <v>501015-38</v>
          </cell>
          <cell r="B559" t="str">
            <v>ATTENDANTS</v>
          </cell>
        </row>
        <row r="560">
          <cell r="A560" t="str">
            <v>501018-03</v>
          </cell>
          <cell r="B560" t="str">
            <v>EMP CAFETERIA ATTENDANT</v>
          </cell>
        </row>
        <row r="561">
          <cell r="A561" t="str">
            <v>501019-41</v>
          </cell>
          <cell r="B561" t="str">
            <v>HOSPITALITY CLERK</v>
          </cell>
        </row>
        <row r="562">
          <cell r="A562" t="str">
            <v>501020-03</v>
          </cell>
          <cell r="B562" t="str">
            <v>STOREROOM ATTENDANT</v>
          </cell>
        </row>
        <row r="563">
          <cell r="A563" t="str">
            <v>501020-12</v>
          </cell>
          <cell r="B563" t="str">
            <v>LIQUOR STOREROOM</v>
          </cell>
        </row>
        <row r="564">
          <cell r="A564" t="str">
            <v>501020-20</v>
          </cell>
          <cell r="B564" t="str">
            <v>PURCHASING</v>
          </cell>
        </row>
        <row r="565">
          <cell r="A565" t="str">
            <v>501021-03</v>
          </cell>
          <cell r="B565" t="str">
            <v>CHEFS IMPORT</v>
          </cell>
        </row>
        <row r="566">
          <cell r="A566" t="str">
            <v>501021-10</v>
          </cell>
          <cell r="B566" t="str">
            <v>CHEF/SOUS CHEF</v>
          </cell>
        </row>
        <row r="567">
          <cell r="A567" t="str">
            <v>501022-03</v>
          </cell>
          <cell r="B567" t="str">
            <v>MAIN KITCHEN COOKS</v>
          </cell>
        </row>
        <row r="568">
          <cell r="A568" t="str">
            <v>501023-03</v>
          </cell>
          <cell r="B568" t="str">
            <v>EXPEDITORS IMPORT</v>
          </cell>
        </row>
        <row r="569">
          <cell r="A569" t="str">
            <v>501023-10</v>
          </cell>
          <cell r="B569" t="str">
            <v>EXPEDITORS</v>
          </cell>
        </row>
        <row r="570">
          <cell r="A570" t="str">
            <v>501024-03</v>
          </cell>
          <cell r="B570" t="str">
            <v>MAIN KITCHEN UTILITY</v>
          </cell>
        </row>
        <row r="571">
          <cell r="A571" t="str">
            <v>501024-10</v>
          </cell>
          <cell r="B571" t="str">
            <v>UTILITY</v>
          </cell>
        </row>
        <row r="572">
          <cell r="A572" t="str">
            <v>501025-03</v>
          </cell>
          <cell r="B572" t="str">
            <v>MAIN KITCHEN BAKERY</v>
          </cell>
        </row>
        <row r="573">
          <cell r="A573" t="str">
            <v>501025-10</v>
          </cell>
          <cell r="B573" t="str">
            <v>MAIN KITCHEN BAKERY</v>
          </cell>
        </row>
        <row r="574">
          <cell r="A574" t="str">
            <v>501026-03</v>
          </cell>
          <cell r="B574" t="str">
            <v>MAIN KITCHEN PANTRY</v>
          </cell>
        </row>
        <row r="575">
          <cell r="A575" t="str">
            <v>501027-10</v>
          </cell>
          <cell r="B575" t="str">
            <v>COOKS</v>
          </cell>
        </row>
        <row r="576">
          <cell r="A576" t="str">
            <v>501029-03</v>
          </cell>
          <cell r="B576" t="str">
            <v>BUTCHER SHOP PAYROLL</v>
          </cell>
        </row>
        <row r="577">
          <cell r="A577" t="str">
            <v>501030-10</v>
          </cell>
          <cell r="B577" t="str">
            <v>PANTRY</v>
          </cell>
        </row>
        <row r="578">
          <cell r="A578" t="str">
            <v>501031-03</v>
          </cell>
          <cell r="B578" t="str">
            <v>STEWARD/ASSISTANTS</v>
          </cell>
        </row>
        <row r="579">
          <cell r="A579" t="str">
            <v>501031-10</v>
          </cell>
          <cell r="B579" t="str">
            <v>STEWARD/ASSISTANTS</v>
          </cell>
        </row>
        <row r="580">
          <cell r="A580" t="str">
            <v>501032-03</v>
          </cell>
          <cell r="B580" t="str">
            <v>NIGHT CLEANERS</v>
          </cell>
        </row>
        <row r="581">
          <cell r="A581" t="str">
            <v>501034-04</v>
          </cell>
          <cell r="B581" t="str">
            <v>HOST/ESS CAPTAIN</v>
          </cell>
        </row>
        <row r="582">
          <cell r="A582" t="str">
            <v>501034-09</v>
          </cell>
          <cell r="B582" t="str">
            <v>HOST/ESS CAPTAIN</v>
          </cell>
        </row>
        <row r="583">
          <cell r="A583" t="str">
            <v>501034-10</v>
          </cell>
          <cell r="B583" t="str">
            <v>HOST/ESS CAPTAIN</v>
          </cell>
        </row>
        <row r="584">
          <cell r="A584" t="str">
            <v>501034-51</v>
          </cell>
          <cell r="B584" t="str">
            <v>SUPERVISOR</v>
          </cell>
        </row>
        <row r="585">
          <cell r="A585" t="str">
            <v>501035-04</v>
          </cell>
          <cell r="B585" t="str">
            <v>SERVERS</v>
          </cell>
        </row>
        <row r="586">
          <cell r="A586" t="str">
            <v>501035-09</v>
          </cell>
          <cell r="B586" t="str">
            <v>SERVERS</v>
          </cell>
        </row>
        <row r="587">
          <cell r="A587" t="str">
            <v>501035-10</v>
          </cell>
          <cell r="B587" t="str">
            <v>SERVERS</v>
          </cell>
        </row>
        <row r="588">
          <cell r="A588" t="str">
            <v>501035-51</v>
          </cell>
          <cell r="B588" t="str">
            <v>SERVERS</v>
          </cell>
        </row>
        <row r="589">
          <cell r="A589" t="str">
            <v>501036-14</v>
          </cell>
          <cell r="B589" t="str">
            <v>WAITER/ESS</v>
          </cell>
        </row>
        <row r="590">
          <cell r="A590" t="str">
            <v>501036-61</v>
          </cell>
          <cell r="B590" t="str">
            <v>SERVER</v>
          </cell>
        </row>
        <row r="591">
          <cell r="A591" t="str">
            <v>501037-04</v>
          </cell>
          <cell r="B591" t="str">
            <v>BUSPERSONS</v>
          </cell>
        </row>
        <row r="592">
          <cell r="A592" t="str">
            <v>501037-09</v>
          </cell>
          <cell r="B592" t="str">
            <v>BUSPERSON</v>
          </cell>
        </row>
        <row r="593">
          <cell r="A593" t="str">
            <v>501037-10</v>
          </cell>
          <cell r="B593" t="str">
            <v>BUSPERSONS</v>
          </cell>
        </row>
        <row r="594">
          <cell r="A594" t="str">
            <v>501037-51</v>
          </cell>
          <cell r="B594" t="str">
            <v>BUSPERSONS</v>
          </cell>
        </row>
        <row r="595">
          <cell r="A595" t="str">
            <v>501038-04</v>
          </cell>
          <cell r="B595" t="str">
            <v>CASHIERS</v>
          </cell>
        </row>
        <row r="596">
          <cell r="A596" t="str">
            <v>501038-09</v>
          </cell>
          <cell r="B596" t="str">
            <v>CASHIER/ORDER TAKER</v>
          </cell>
        </row>
        <row r="597">
          <cell r="A597" t="str">
            <v>501038-10</v>
          </cell>
          <cell r="B597" t="str">
            <v>CASHIERS</v>
          </cell>
        </row>
        <row r="598">
          <cell r="A598" t="str">
            <v>501038-13</v>
          </cell>
          <cell r="B598" t="str">
            <v>CASHIERS</v>
          </cell>
        </row>
        <row r="599">
          <cell r="A599" t="str">
            <v>501038-51</v>
          </cell>
          <cell r="B599" t="str">
            <v>ATTENDANT</v>
          </cell>
        </row>
        <row r="600">
          <cell r="A600" t="str">
            <v>501039-12</v>
          </cell>
          <cell r="B600" t="str">
            <v>BARTENDER IMPORT</v>
          </cell>
        </row>
        <row r="601">
          <cell r="A601" t="str">
            <v>501039-13</v>
          </cell>
          <cell r="B601" t="str">
            <v>BARTENDERS</v>
          </cell>
        </row>
        <row r="602">
          <cell r="A602" t="str">
            <v>501039-14</v>
          </cell>
          <cell r="B602" t="str">
            <v>BARTENDERS</v>
          </cell>
        </row>
        <row r="603">
          <cell r="A603" t="str">
            <v>501039-61</v>
          </cell>
          <cell r="B603" t="str">
            <v>BARTENDER</v>
          </cell>
        </row>
        <row r="604">
          <cell r="A604" t="str">
            <v>501040-14</v>
          </cell>
          <cell r="B604" t="str">
            <v>BARBACKS</v>
          </cell>
        </row>
        <row r="605">
          <cell r="A605" t="str">
            <v>501042-10</v>
          </cell>
          <cell r="B605" t="str">
            <v>HOUSEPERSONS</v>
          </cell>
        </row>
        <row r="606">
          <cell r="A606" t="str">
            <v>501044-02</v>
          </cell>
          <cell r="B606" t="str">
            <v>SECRETARY</v>
          </cell>
        </row>
        <row r="607">
          <cell r="A607" t="str">
            <v>501044-03</v>
          </cell>
          <cell r="B607" t="str">
            <v>FOOD SECRETARIAL IMPORT</v>
          </cell>
        </row>
        <row r="608">
          <cell r="A608" t="str">
            <v>501044-10</v>
          </cell>
          <cell r="B608" t="str">
            <v>CATERING SECRETARIAL</v>
          </cell>
        </row>
        <row r="609">
          <cell r="A609" t="str">
            <v>501044-20</v>
          </cell>
          <cell r="B609" t="str">
            <v>SECRETARIAL</v>
          </cell>
        </row>
        <row r="610">
          <cell r="A610" t="str">
            <v>501044-22</v>
          </cell>
          <cell r="B610" t="str">
            <v>SECRETARIAL</v>
          </cell>
        </row>
        <row r="611">
          <cell r="A611" t="str">
            <v>501044-24</v>
          </cell>
          <cell r="B611" t="str">
            <v>SECRETARIAL</v>
          </cell>
        </row>
        <row r="612">
          <cell r="A612" t="str">
            <v>501044-30</v>
          </cell>
          <cell r="B612" t="str">
            <v>SECRETARIAL</v>
          </cell>
        </row>
        <row r="613">
          <cell r="A613" t="str">
            <v>501046-20</v>
          </cell>
          <cell r="B613" t="str">
            <v>ACCOUNTING</v>
          </cell>
        </row>
        <row r="614">
          <cell r="A614" t="str">
            <v>501047-20</v>
          </cell>
          <cell r="B614" t="str">
            <v>SECURITY PAYROLL</v>
          </cell>
        </row>
        <row r="615">
          <cell r="A615" t="str">
            <v>501048-22</v>
          </cell>
          <cell r="B615" t="str">
            <v>ENGINEERS MAINTENANCE</v>
          </cell>
        </row>
        <row r="616">
          <cell r="A616" t="str">
            <v>501049-22</v>
          </cell>
          <cell r="B616" t="str">
            <v>ENGINEERS GROUNDS</v>
          </cell>
        </row>
        <row r="617">
          <cell r="A617" t="str">
            <v>501050-03</v>
          </cell>
          <cell r="B617" t="str">
            <v>F&amp;B INCENTIVE</v>
          </cell>
        </row>
        <row r="618">
          <cell r="A618" t="str">
            <v>501050-10</v>
          </cell>
          <cell r="B618" t="str">
            <v>CATERING SALES REPS</v>
          </cell>
        </row>
        <row r="619">
          <cell r="A619" t="str">
            <v>501050-24</v>
          </cell>
          <cell r="B619" t="str">
            <v>SALES PERSONNEL</v>
          </cell>
        </row>
        <row r="620">
          <cell r="A620" t="str">
            <v>501051-38</v>
          </cell>
          <cell r="B620" t="str">
            <v>CHILD CENTER ATTENDANT</v>
          </cell>
        </row>
        <row r="621">
          <cell r="A621" t="str">
            <v>501055-24</v>
          </cell>
          <cell r="B621" t="str">
            <v>WEB PROSPECTING</v>
          </cell>
        </row>
        <row r="622">
          <cell r="A622" t="str">
            <v>501060-02</v>
          </cell>
          <cell r="B622" t="str">
            <v>CLEANERS REBILL</v>
          </cell>
        </row>
        <row r="623">
          <cell r="A623" t="str">
            <v>501060-03</v>
          </cell>
          <cell r="B623" t="str">
            <v>CLEANERS REBILL</v>
          </cell>
        </row>
        <row r="624">
          <cell r="A624" t="str">
            <v>501060-12</v>
          </cell>
          <cell r="B624" t="str">
            <v>CLEANERS REBILL</v>
          </cell>
        </row>
        <row r="625">
          <cell r="A625" t="str">
            <v>501060-36</v>
          </cell>
          <cell r="B625" t="str">
            <v>CLEANERS REBILL</v>
          </cell>
        </row>
        <row r="626">
          <cell r="A626" t="str">
            <v>501062-02</v>
          </cell>
          <cell r="B626" t="str">
            <v>CONTRACT LABOR-HOUSEKEEPING</v>
          </cell>
        </row>
        <row r="627">
          <cell r="A627" t="str">
            <v>501062-03</v>
          </cell>
          <cell r="B627" t="str">
            <v>CONTRACT LABOR-UTILITY</v>
          </cell>
        </row>
        <row r="628">
          <cell r="A628" t="str">
            <v>501062-20</v>
          </cell>
          <cell r="B628" t="str">
            <v>CONTRACT LABOR-ADMIN</v>
          </cell>
        </row>
        <row r="629">
          <cell r="A629" t="str">
            <v>501063-03</v>
          </cell>
          <cell r="B629" t="str">
            <v>CONTRACT LABOR-PRODUCTION</v>
          </cell>
        </row>
        <row r="630">
          <cell r="A630" t="str">
            <v>501064-03</v>
          </cell>
          <cell r="B630" t="str">
            <v>CONTRACT LABOR-SERVICE</v>
          </cell>
        </row>
        <row r="631">
          <cell r="A631" t="str">
            <v>501070-02</v>
          </cell>
          <cell r="B631" t="str">
            <v>COMP BREAKFAST PAYROLL</v>
          </cell>
        </row>
        <row r="632">
          <cell r="A632" t="str">
            <v>501070-03</v>
          </cell>
          <cell r="B632" t="str">
            <v>PAYROLL CREDITS</v>
          </cell>
        </row>
        <row r="633">
          <cell r="A633" t="str">
            <v>501070-04</v>
          </cell>
          <cell r="B633" t="str">
            <v>COMP BREAKFAST PAYROLL</v>
          </cell>
        </row>
        <row r="634">
          <cell r="A634" t="str">
            <v>501072-10</v>
          </cell>
          <cell r="B634" t="str">
            <v>SALES INCENTIVE</v>
          </cell>
        </row>
        <row r="635">
          <cell r="A635" t="str">
            <v>501072-24</v>
          </cell>
          <cell r="B635" t="str">
            <v>SALES INCENTIVE</v>
          </cell>
        </row>
        <row r="636">
          <cell r="A636" t="str">
            <v>501090-02</v>
          </cell>
          <cell r="B636" t="str">
            <v>VACATION PAY</v>
          </cell>
        </row>
        <row r="637">
          <cell r="A637" t="str">
            <v>501090-03</v>
          </cell>
          <cell r="B637" t="str">
            <v>VACATION PAY</v>
          </cell>
        </row>
        <row r="638">
          <cell r="A638" t="str">
            <v>501090-12</v>
          </cell>
          <cell r="B638" t="str">
            <v>VACATION PAY</v>
          </cell>
        </row>
        <row r="639">
          <cell r="A639" t="str">
            <v>501090-20</v>
          </cell>
          <cell r="B639" t="str">
            <v>VACATION PAY</v>
          </cell>
        </row>
        <row r="640">
          <cell r="A640" t="str">
            <v>501090-22</v>
          </cell>
          <cell r="B640" t="str">
            <v>VACATION PAY</v>
          </cell>
        </row>
        <row r="641">
          <cell r="A641" t="str">
            <v>501090-24</v>
          </cell>
          <cell r="B641" t="str">
            <v>VACATION PAY</v>
          </cell>
        </row>
        <row r="642">
          <cell r="A642" t="str">
            <v>501090-26</v>
          </cell>
          <cell r="B642" t="str">
            <v>VACATION PAY (HISTORICAL)</v>
          </cell>
        </row>
        <row r="643">
          <cell r="A643" t="str">
            <v>501090-27</v>
          </cell>
          <cell r="B643" t="str">
            <v>VACATION PAY</v>
          </cell>
        </row>
        <row r="644">
          <cell r="A644" t="str">
            <v>501090-30</v>
          </cell>
          <cell r="B644" t="str">
            <v>VACATION PAY</v>
          </cell>
        </row>
        <row r="645">
          <cell r="A645" t="str">
            <v>501090-34</v>
          </cell>
          <cell r="B645" t="str">
            <v>VACATION PAY</v>
          </cell>
        </row>
        <row r="646">
          <cell r="A646" t="str">
            <v>501090-36</v>
          </cell>
          <cell r="B646" t="str">
            <v>VACATION PAY</v>
          </cell>
        </row>
        <row r="647">
          <cell r="A647" t="str">
            <v>501090-38</v>
          </cell>
          <cell r="B647" t="str">
            <v>VACATION</v>
          </cell>
        </row>
        <row r="648">
          <cell r="A648" t="str">
            <v>501090-41</v>
          </cell>
          <cell r="B648" t="str">
            <v>VACATION PAY</v>
          </cell>
        </row>
        <row r="649">
          <cell r="A649" t="str">
            <v>501090-61</v>
          </cell>
          <cell r="B649" t="str">
            <v>VACATION PAY</v>
          </cell>
        </row>
        <row r="650">
          <cell r="A650" t="str">
            <v>501090-83</v>
          </cell>
          <cell r="B650" t="str">
            <v>VACATION PAY</v>
          </cell>
        </row>
        <row r="651">
          <cell r="A651" t="str">
            <v>501091-02</v>
          </cell>
          <cell r="B651" t="str">
            <v>EMPLOYEE MEALS</v>
          </cell>
        </row>
        <row r="652">
          <cell r="A652" t="str">
            <v>501091-03</v>
          </cell>
          <cell r="B652" t="str">
            <v>EMPLOYEE MEALS</v>
          </cell>
        </row>
        <row r="653">
          <cell r="A653" t="str">
            <v>501091-12</v>
          </cell>
          <cell r="B653" t="str">
            <v>EMPLOYEE MEALS</v>
          </cell>
        </row>
        <row r="654">
          <cell r="A654" t="str">
            <v>501091-20</v>
          </cell>
          <cell r="B654" t="str">
            <v>EMPLOYEE MEALS</v>
          </cell>
        </row>
        <row r="655">
          <cell r="A655" t="str">
            <v>501091-22</v>
          </cell>
          <cell r="B655" t="str">
            <v>EMPLOYEE MEALS</v>
          </cell>
        </row>
        <row r="656">
          <cell r="A656" t="str">
            <v>501091-24</v>
          </cell>
          <cell r="B656" t="str">
            <v>EMPLOYEE MEALS</v>
          </cell>
        </row>
        <row r="657">
          <cell r="A657" t="str">
            <v>501091-27</v>
          </cell>
          <cell r="B657" t="str">
            <v>EMPLOYEE MEALS</v>
          </cell>
        </row>
        <row r="658">
          <cell r="A658" t="str">
            <v>501091-30</v>
          </cell>
          <cell r="B658" t="str">
            <v>EMPLOYEE MEALS</v>
          </cell>
        </row>
        <row r="659">
          <cell r="A659" t="str">
            <v>501091-34</v>
          </cell>
          <cell r="B659" t="str">
            <v>EMPLOYEE MEALS</v>
          </cell>
        </row>
        <row r="660">
          <cell r="A660" t="str">
            <v>501091-36</v>
          </cell>
          <cell r="B660" t="str">
            <v>EMPLOYEE MEALS</v>
          </cell>
        </row>
        <row r="661">
          <cell r="A661" t="str">
            <v>501091-38</v>
          </cell>
          <cell r="B661" t="str">
            <v>EMPLOYEE MEALS</v>
          </cell>
        </row>
        <row r="662">
          <cell r="A662" t="str">
            <v>501091-41</v>
          </cell>
          <cell r="B662" t="str">
            <v>EMPLOYEE MEALS</v>
          </cell>
        </row>
        <row r="663">
          <cell r="A663" t="str">
            <v>501091-83</v>
          </cell>
          <cell r="B663" t="str">
            <v>EMPLOYEE MEALS</v>
          </cell>
        </row>
        <row r="664">
          <cell r="A664" t="str">
            <v>501092-02</v>
          </cell>
          <cell r="B664" t="str">
            <v>BONUS PROVISION</v>
          </cell>
        </row>
        <row r="665">
          <cell r="A665" t="str">
            <v>501092-03</v>
          </cell>
          <cell r="B665" t="str">
            <v>BONUS PROVISION</v>
          </cell>
        </row>
        <row r="666">
          <cell r="A666" t="str">
            <v>501092-10</v>
          </cell>
          <cell r="B666" t="str">
            <v>BONUS PROVISION</v>
          </cell>
        </row>
        <row r="667">
          <cell r="A667" t="str">
            <v>501092-12</v>
          </cell>
          <cell r="B667" t="str">
            <v>BONUS PROVISION</v>
          </cell>
        </row>
        <row r="668">
          <cell r="A668" t="str">
            <v>501092-20</v>
          </cell>
          <cell r="B668" t="str">
            <v>BONUS PROVISION</v>
          </cell>
        </row>
        <row r="669">
          <cell r="A669" t="str">
            <v>501092-22</v>
          </cell>
          <cell r="B669" t="str">
            <v>BONUS PROVISION</v>
          </cell>
        </row>
        <row r="670">
          <cell r="A670" t="str">
            <v>501092-24</v>
          </cell>
          <cell r="B670" t="str">
            <v>BONUS PROVISION</v>
          </cell>
        </row>
        <row r="671">
          <cell r="A671" t="str">
            <v>501092-27</v>
          </cell>
          <cell r="B671" t="str">
            <v>BONUS PROVISION</v>
          </cell>
        </row>
        <row r="672">
          <cell r="A672" t="str">
            <v>501092-30</v>
          </cell>
          <cell r="B672" t="str">
            <v>BONUS PROVISION</v>
          </cell>
        </row>
        <row r="673">
          <cell r="A673" t="str">
            <v>501092-36</v>
          </cell>
          <cell r="B673" t="str">
            <v>BONUS PROVISION</v>
          </cell>
        </row>
        <row r="674">
          <cell r="A674" t="str">
            <v>501092-41</v>
          </cell>
          <cell r="B674" t="str">
            <v>BONUS PROVISION</v>
          </cell>
        </row>
        <row r="675">
          <cell r="A675" t="str">
            <v>501093-02</v>
          </cell>
          <cell r="B675" t="str">
            <v>HOLIDAY PAY</v>
          </cell>
        </row>
        <row r="676">
          <cell r="A676" t="str">
            <v>501093-03</v>
          </cell>
          <cell r="B676" t="str">
            <v>HOLIDAY PAY</v>
          </cell>
        </row>
        <row r="677">
          <cell r="A677" t="str">
            <v>501093-04</v>
          </cell>
          <cell r="B677" t="str">
            <v>HOLIDAY PAY</v>
          </cell>
        </row>
        <row r="678">
          <cell r="A678" t="str">
            <v>501093-12</v>
          </cell>
          <cell r="B678" t="str">
            <v>HOLIDAY PAY</v>
          </cell>
        </row>
        <row r="679">
          <cell r="A679" t="str">
            <v>501093-20</v>
          </cell>
          <cell r="B679" t="str">
            <v>HOLIDAY PAY</v>
          </cell>
        </row>
        <row r="680">
          <cell r="A680" t="str">
            <v>501093-22</v>
          </cell>
          <cell r="B680" t="str">
            <v>HOLIDAY PAY</v>
          </cell>
        </row>
        <row r="681">
          <cell r="A681" t="str">
            <v>501093-24</v>
          </cell>
          <cell r="B681" t="str">
            <v>HOLIDAY PAY</v>
          </cell>
        </row>
        <row r="682">
          <cell r="A682" t="str">
            <v>501093-27</v>
          </cell>
          <cell r="B682" t="str">
            <v>HOLIDAY PAY</v>
          </cell>
        </row>
        <row r="683">
          <cell r="A683" t="str">
            <v>501093-30</v>
          </cell>
          <cell r="B683" t="str">
            <v>HOLIDAY PAY</v>
          </cell>
        </row>
        <row r="684">
          <cell r="A684" t="str">
            <v>501093-34</v>
          </cell>
          <cell r="B684" t="str">
            <v>HOLIDAY PAY</v>
          </cell>
        </row>
        <row r="685">
          <cell r="A685" t="str">
            <v>501093-36</v>
          </cell>
          <cell r="B685" t="str">
            <v>HOLIDAY PAY</v>
          </cell>
        </row>
        <row r="686">
          <cell r="A686" t="str">
            <v>501093-38</v>
          </cell>
          <cell r="B686" t="str">
            <v>HOLIDAY PAY</v>
          </cell>
        </row>
        <row r="687">
          <cell r="A687" t="str">
            <v>501093-41</v>
          </cell>
          <cell r="B687" t="str">
            <v>HOLIDAY PAY</v>
          </cell>
        </row>
        <row r="688">
          <cell r="A688" t="str">
            <v>501093-61</v>
          </cell>
          <cell r="B688" t="str">
            <v>HOLIDAY PAY</v>
          </cell>
        </row>
        <row r="689">
          <cell r="A689" t="str">
            <v>501093-83</v>
          </cell>
          <cell r="B689" t="str">
            <v>HOLIDAY PAY</v>
          </cell>
        </row>
        <row r="690">
          <cell r="A690" t="str">
            <v>501096-02</v>
          </cell>
          <cell r="B690" t="str">
            <v>TRAINING</v>
          </cell>
        </row>
        <row r="691">
          <cell r="A691" t="str">
            <v>501096-03</v>
          </cell>
          <cell r="B691" t="str">
            <v>TRAINING</v>
          </cell>
        </row>
        <row r="692">
          <cell r="A692" t="str">
            <v>501096-12</v>
          </cell>
          <cell r="B692" t="str">
            <v>TRAINING</v>
          </cell>
        </row>
        <row r="693">
          <cell r="A693" t="str">
            <v>501096-20</v>
          </cell>
          <cell r="B693" t="str">
            <v>TRAINING</v>
          </cell>
        </row>
        <row r="694">
          <cell r="A694" t="str">
            <v>501096-22</v>
          </cell>
          <cell r="B694" t="str">
            <v>TRAINING</v>
          </cell>
        </row>
        <row r="695">
          <cell r="A695" t="str">
            <v>501096-24</v>
          </cell>
          <cell r="B695" t="str">
            <v>TRAINING</v>
          </cell>
        </row>
        <row r="696">
          <cell r="A696" t="str">
            <v>501096-27</v>
          </cell>
          <cell r="B696" t="str">
            <v>TRAINING</v>
          </cell>
        </row>
        <row r="697">
          <cell r="A697" t="str">
            <v>501096-30</v>
          </cell>
          <cell r="B697" t="str">
            <v>TRAINING DOLLARS</v>
          </cell>
        </row>
        <row r="698">
          <cell r="A698" t="str">
            <v>501096-34</v>
          </cell>
          <cell r="B698" t="str">
            <v>TRAINING</v>
          </cell>
        </row>
        <row r="699">
          <cell r="A699" t="str">
            <v>501991-12</v>
          </cell>
          <cell r="B699" t="str">
            <v>DEPT 61 BENEFITS</v>
          </cell>
        </row>
        <row r="700">
          <cell r="A700" t="str">
            <v>501998-20</v>
          </cell>
          <cell r="B700" t="str">
            <v>HUMAN RESOURCES PAYROLL</v>
          </cell>
        </row>
        <row r="701">
          <cell r="A701" t="str">
            <v>502097-02</v>
          </cell>
          <cell r="B701" t="str">
            <v>OJT</v>
          </cell>
        </row>
        <row r="702">
          <cell r="A702" t="str">
            <v>502097-03</v>
          </cell>
          <cell r="B702" t="str">
            <v>OJT</v>
          </cell>
        </row>
        <row r="703">
          <cell r="A703" t="str">
            <v>502097-12</v>
          </cell>
          <cell r="B703" t="str">
            <v>OJT</v>
          </cell>
        </row>
        <row r="704">
          <cell r="A704" t="str">
            <v>502097-20</v>
          </cell>
          <cell r="B704" t="str">
            <v>OJT</v>
          </cell>
        </row>
        <row r="705">
          <cell r="A705" t="str">
            <v>502097-22</v>
          </cell>
          <cell r="B705" t="str">
            <v>OJT</v>
          </cell>
        </row>
        <row r="706">
          <cell r="A706" t="str">
            <v>502097-24</v>
          </cell>
          <cell r="B706" t="str">
            <v>OJT</v>
          </cell>
        </row>
        <row r="707">
          <cell r="A707" t="str">
            <v>502097-27</v>
          </cell>
          <cell r="B707" t="str">
            <v>OJT</v>
          </cell>
        </row>
        <row r="708">
          <cell r="A708" t="str">
            <v>502097-30</v>
          </cell>
          <cell r="B708" t="str">
            <v>OJT CREDIT</v>
          </cell>
        </row>
        <row r="709">
          <cell r="A709" t="str">
            <v>502097-34</v>
          </cell>
          <cell r="B709" t="str">
            <v>OJT</v>
          </cell>
        </row>
        <row r="710">
          <cell r="A710" t="str">
            <v>520001-26</v>
          </cell>
          <cell r="B710" t="str">
            <v>FICA</v>
          </cell>
        </row>
        <row r="711">
          <cell r="A711" t="str">
            <v>520004-26</v>
          </cell>
          <cell r="B711" t="str">
            <v>FUTA</v>
          </cell>
        </row>
        <row r="712">
          <cell r="A712" t="str">
            <v>520005-26</v>
          </cell>
          <cell r="B712" t="str">
            <v>SUTA</v>
          </cell>
        </row>
        <row r="713">
          <cell r="A713" t="str">
            <v>520006-26</v>
          </cell>
          <cell r="B713" t="str">
            <v>CITY EMPLOYEE EXCISE TAX</v>
          </cell>
        </row>
        <row r="714">
          <cell r="A714" t="str">
            <v>523001-26</v>
          </cell>
          <cell r="B714" t="str">
            <v>GROUP INSURANCE</v>
          </cell>
        </row>
        <row r="715">
          <cell r="A715" t="str">
            <v>523002-02</v>
          </cell>
          <cell r="B715" t="str">
            <v>TRAINING MATERIALS</v>
          </cell>
        </row>
        <row r="716">
          <cell r="A716" t="str">
            <v>523002-03</v>
          </cell>
          <cell r="B716" t="str">
            <v>TRAINING MATERIALS</v>
          </cell>
        </row>
        <row r="717">
          <cell r="A717" t="str">
            <v>523002-12</v>
          </cell>
          <cell r="B717" t="str">
            <v>TRAINING MATERIALS</v>
          </cell>
        </row>
        <row r="718">
          <cell r="A718" t="str">
            <v>523002-20</v>
          </cell>
          <cell r="B718" t="str">
            <v>TRAINING MATERIALS</v>
          </cell>
        </row>
        <row r="719">
          <cell r="A719" t="str">
            <v>523002-22</v>
          </cell>
          <cell r="B719" t="str">
            <v>TRAINING MATERIALS</v>
          </cell>
        </row>
        <row r="720">
          <cell r="A720" t="str">
            <v>523002-24</v>
          </cell>
          <cell r="B720" t="str">
            <v>TRAINING MATERIALS</v>
          </cell>
        </row>
        <row r="721">
          <cell r="A721" t="str">
            <v>523002-26</v>
          </cell>
          <cell r="B721" t="str">
            <v>DEFERRED COMPENSATION</v>
          </cell>
        </row>
        <row r="722">
          <cell r="A722" t="str">
            <v>523002-27</v>
          </cell>
          <cell r="B722" t="str">
            <v>TRAINING MATERIALS</v>
          </cell>
        </row>
        <row r="723">
          <cell r="A723" t="str">
            <v>523003-30</v>
          </cell>
          <cell r="B723" t="str">
            <v>EMPLOYEE RELATIONS</v>
          </cell>
        </row>
        <row r="724">
          <cell r="A724" t="str">
            <v>523004-26</v>
          </cell>
          <cell r="B724" t="str">
            <v>UNION H&amp;W INSURANCE</v>
          </cell>
        </row>
        <row r="725">
          <cell r="A725" t="str">
            <v>523005-26</v>
          </cell>
          <cell r="B725" t="str">
            <v>UNION PENSION FUND</v>
          </cell>
        </row>
        <row r="726">
          <cell r="A726" t="str">
            <v>523006-30</v>
          </cell>
          <cell r="B726" t="str">
            <v>TRAINING MATERIALS</v>
          </cell>
        </row>
        <row r="727">
          <cell r="A727" t="str">
            <v>523007-26</v>
          </cell>
          <cell r="B727" t="str">
            <v>TRANSPORTATION</v>
          </cell>
        </row>
        <row r="728">
          <cell r="A728" t="str">
            <v>523008-26</v>
          </cell>
          <cell r="B728" t="str">
            <v>CHRISTMAS BONUS</v>
          </cell>
        </row>
        <row r="729">
          <cell r="A729" t="str">
            <v>530001-02</v>
          </cell>
          <cell r="B729" t="str">
            <v>CENTRALIZED SERVICES FEE</v>
          </cell>
        </row>
        <row r="730">
          <cell r="A730" t="str">
            <v>530001-20</v>
          </cell>
          <cell r="B730" t="str">
            <v>CENTRALIZED ACCOUNTING CHARGES</v>
          </cell>
        </row>
        <row r="731">
          <cell r="A731" t="str">
            <v>530001-24</v>
          </cell>
          <cell r="B731" t="str">
            <v>CENTRALIZED SERVICES FEE</v>
          </cell>
        </row>
        <row r="732">
          <cell r="A732" t="str">
            <v>530002-02</v>
          </cell>
          <cell r="B732" t="str">
            <v>TRAVEL &amp; ENTERTAINMENT</v>
          </cell>
        </row>
        <row r="733">
          <cell r="A733" t="str">
            <v>530002-03</v>
          </cell>
          <cell r="B733" t="str">
            <v>TRAVEL &amp; ENTERTAINMENT</v>
          </cell>
        </row>
        <row r="734">
          <cell r="A734" t="str">
            <v>530002-12</v>
          </cell>
          <cell r="B734" t="str">
            <v>TRAVEL &amp; ENTERTAINMENT</v>
          </cell>
        </row>
        <row r="735">
          <cell r="A735" t="str">
            <v>530002-20</v>
          </cell>
          <cell r="B735" t="str">
            <v>TRAVEL &amp; ENTERTAINMENT</v>
          </cell>
        </row>
        <row r="736">
          <cell r="A736" t="str">
            <v>530002-22</v>
          </cell>
          <cell r="B736" t="str">
            <v>TRAVEL &amp; ENTERTAINMENT</v>
          </cell>
        </row>
        <row r="737">
          <cell r="A737" t="str">
            <v>530002-24</v>
          </cell>
          <cell r="B737" t="str">
            <v>TRAVEL &amp; ENTERTAINMENT</v>
          </cell>
        </row>
        <row r="738">
          <cell r="A738" t="str">
            <v>530002-30</v>
          </cell>
          <cell r="B738" t="str">
            <v>TRAVEL &amp; ENTERTAINMENT</v>
          </cell>
        </row>
        <row r="739">
          <cell r="A739" t="str">
            <v>530010-02</v>
          </cell>
          <cell r="B739" t="str">
            <v>CORPORATE OFFICE REIMBURSABLES</v>
          </cell>
        </row>
        <row r="740">
          <cell r="A740" t="str">
            <v>530010-03</v>
          </cell>
          <cell r="B740" t="str">
            <v>CORPORATE OFFICE REIMBURSABLES</v>
          </cell>
        </row>
        <row r="741">
          <cell r="A741" t="str">
            <v>530010-20</v>
          </cell>
          <cell r="B741" t="str">
            <v>CORP OFFICE REIMBURSABLES</v>
          </cell>
        </row>
        <row r="742">
          <cell r="A742" t="str">
            <v>530010-24</v>
          </cell>
          <cell r="B742" t="str">
            <v>CORPORATE OFFICE REIMBURSABLES</v>
          </cell>
        </row>
        <row r="743">
          <cell r="A743" t="str">
            <v>530011-20</v>
          </cell>
          <cell r="B743" t="str">
            <v>MGR LIVE-IN F&amp;B EXP</v>
          </cell>
        </row>
        <row r="744">
          <cell r="A744" t="str">
            <v>530011-30</v>
          </cell>
          <cell r="B744" t="str">
            <v>EMPLOYEE HOUSING</v>
          </cell>
        </row>
        <row r="745">
          <cell r="A745" t="str">
            <v>530012-02</v>
          </cell>
          <cell r="B745" t="str">
            <v>HOUSING</v>
          </cell>
        </row>
        <row r="746">
          <cell r="A746" t="str">
            <v>530012-03</v>
          </cell>
          <cell r="B746" t="str">
            <v>HOUSING</v>
          </cell>
        </row>
        <row r="747">
          <cell r="A747" t="str">
            <v>530012-04</v>
          </cell>
          <cell r="B747" t="str">
            <v>HOUSING</v>
          </cell>
        </row>
        <row r="748">
          <cell r="A748" t="str">
            <v>530012-09</v>
          </cell>
          <cell r="B748" t="str">
            <v>HOUSING</v>
          </cell>
        </row>
        <row r="749">
          <cell r="A749" t="str">
            <v>530012-10</v>
          </cell>
          <cell r="B749" t="str">
            <v>HOUSING</v>
          </cell>
        </row>
        <row r="750">
          <cell r="A750" t="str">
            <v>530012-20</v>
          </cell>
          <cell r="B750" t="str">
            <v>MGR LIVE-IN EXPENSE</v>
          </cell>
        </row>
        <row r="751">
          <cell r="A751" t="str">
            <v>530012-22</v>
          </cell>
          <cell r="B751" t="str">
            <v>MGR LIVE-IN EXPENSE</v>
          </cell>
        </row>
        <row r="752">
          <cell r="A752" t="str">
            <v>530012-27</v>
          </cell>
          <cell r="B752" t="str">
            <v>HOUSING</v>
          </cell>
        </row>
        <row r="753">
          <cell r="A753" t="str">
            <v>530012-30</v>
          </cell>
          <cell r="B753" t="str">
            <v>RELOCATION</v>
          </cell>
        </row>
        <row r="754">
          <cell r="A754" t="str">
            <v>530012-36</v>
          </cell>
          <cell r="B754" t="str">
            <v>HOUSING</v>
          </cell>
        </row>
        <row r="755">
          <cell r="A755" t="str">
            <v>530012-51</v>
          </cell>
          <cell r="B755" t="str">
            <v>HOUSING</v>
          </cell>
        </row>
        <row r="756">
          <cell r="A756" t="str">
            <v>531005-03</v>
          </cell>
          <cell r="B756" t="str">
            <v>DUES &amp; SUBSCRIPTIONS</v>
          </cell>
        </row>
        <row r="757">
          <cell r="A757" t="str">
            <v>531005-20</v>
          </cell>
          <cell r="B757" t="str">
            <v>DUES/SUBSCRIPTIONS</v>
          </cell>
        </row>
        <row r="758">
          <cell r="A758" t="str">
            <v>531005-24</v>
          </cell>
          <cell r="B758" t="str">
            <v>DUES/SUBSCRIPTIONS</v>
          </cell>
        </row>
        <row r="759">
          <cell r="A759" t="str">
            <v>531005-30</v>
          </cell>
          <cell r="B759" t="str">
            <v>DUES &amp; SUBSCRIPTIONS</v>
          </cell>
        </row>
        <row r="760">
          <cell r="A760" t="str">
            <v>531005-36</v>
          </cell>
          <cell r="B760" t="str">
            <v>DUES &amp; SUBS</v>
          </cell>
        </row>
        <row r="761">
          <cell r="A761" t="str">
            <v>532011-24</v>
          </cell>
          <cell r="B761" t="str">
            <v>COLLATERAL MATERIAL</v>
          </cell>
        </row>
        <row r="762">
          <cell r="A762" t="str">
            <v>532012-24</v>
          </cell>
          <cell r="B762" t="str">
            <v>TA TRADES</v>
          </cell>
        </row>
        <row r="763">
          <cell r="A763" t="str">
            <v>532013-24</v>
          </cell>
          <cell r="B763" t="str">
            <v>PRODUCTION</v>
          </cell>
        </row>
        <row r="764">
          <cell r="A764" t="str">
            <v>532015-24</v>
          </cell>
          <cell r="B764" t="str">
            <v>EUROPEAN SALES</v>
          </cell>
        </row>
        <row r="765">
          <cell r="A765" t="str">
            <v>532016-24</v>
          </cell>
          <cell r="B765" t="str">
            <v>RES FULLFILLMENT</v>
          </cell>
        </row>
        <row r="766">
          <cell r="A766" t="str">
            <v>532020-24</v>
          </cell>
          <cell r="B766" t="str">
            <v>CONSUMER ADV ROOMS</v>
          </cell>
        </row>
        <row r="767">
          <cell r="A767" t="str">
            <v>532021-24</v>
          </cell>
          <cell r="B767" t="str">
            <v>CONSUMER ADV FOOD/BEV</v>
          </cell>
        </row>
        <row r="768">
          <cell r="A768" t="str">
            <v>532022-24</v>
          </cell>
          <cell r="B768" t="str">
            <v>OUTDOOR MARKETING SERVICES</v>
          </cell>
        </row>
        <row r="769">
          <cell r="A769" t="str">
            <v>532023-24</v>
          </cell>
          <cell r="B769" t="str">
            <v>CONSUMER ADV YELLOW PG</v>
          </cell>
        </row>
        <row r="770">
          <cell r="A770" t="str">
            <v>532024-24</v>
          </cell>
          <cell r="B770" t="str">
            <v>SMART ADVERTISING</v>
          </cell>
        </row>
        <row r="771">
          <cell r="A771" t="str">
            <v>532025-24</v>
          </cell>
          <cell r="B771" t="str">
            <v>FEEDER MARKET</v>
          </cell>
        </row>
        <row r="772">
          <cell r="A772" t="str">
            <v>532026-24</v>
          </cell>
          <cell r="B772" t="str">
            <v>RADISSON MKT ASSOCIATION</v>
          </cell>
        </row>
        <row r="773">
          <cell r="A773" t="str">
            <v>532027-24</v>
          </cell>
          <cell r="B773" t="str">
            <v>REGIONAL FEEDER MARKET</v>
          </cell>
        </row>
        <row r="774">
          <cell r="A774" t="str">
            <v>532028-24</v>
          </cell>
          <cell r="B774" t="str">
            <v>LOCAL ADV CREDIT</v>
          </cell>
        </row>
        <row r="775">
          <cell r="A775" t="str">
            <v>532030-24</v>
          </cell>
          <cell r="B775" t="str">
            <v>PLANNING</v>
          </cell>
        </row>
        <row r="776">
          <cell r="A776" t="str">
            <v>532032-24</v>
          </cell>
          <cell r="B776" t="str">
            <v>RESERVATIONS ASSESSMENT FEE</v>
          </cell>
        </row>
        <row r="777">
          <cell r="A777" t="str">
            <v>532033-24</v>
          </cell>
          <cell r="B777" t="str">
            <v>FRANCHISOR. MARKETING ASSESSMENT</v>
          </cell>
        </row>
        <row r="778">
          <cell r="A778" t="str">
            <v>532038-24</v>
          </cell>
          <cell r="B778" t="str">
            <v>GM DISCRETIONARY</v>
          </cell>
        </row>
        <row r="779">
          <cell r="A779" t="str">
            <v>532050-24</v>
          </cell>
          <cell r="B779" t="str">
            <v>OTHER MARKETING SERVICE</v>
          </cell>
        </row>
        <row r="780">
          <cell r="A780" t="str">
            <v>532051-24</v>
          </cell>
          <cell r="B780" t="str">
            <v>AUDIO VISUAL</v>
          </cell>
        </row>
        <row r="781">
          <cell r="A781" t="str">
            <v>532052-24</v>
          </cell>
          <cell r="B781" t="str">
            <v>PHOTOGRAPHY</v>
          </cell>
        </row>
        <row r="782">
          <cell r="A782" t="str">
            <v>532053-02</v>
          </cell>
          <cell r="B782" t="str">
            <v>GDS CHARGES</v>
          </cell>
        </row>
        <row r="783">
          <cell r="A783" t="str">
            <v>532053-24</v>
          </cell>
          <cell r="B783" t="str">
            <v>GDS/INTERACTIVE</v>
          </cell>
        </row>
        <row r="784">
          <cell r="A784" t="str">
            <v>532054-02</v>
          </cell>
          <cell r="B784" t="str">
            <v>AGENT INCENTIVES</v>
          </cell>
        </row>
        <row r="785">
          <cell r="A785" t="str">
            <v>532055-02</v>
          </cell>
          <cell r="B785" t="str">
            <v>GUEST RELOCATION</v>
          </cell>
        </row>
        <row r="786">
          <cell r="A786" t="str">
            <v>532060-24</v>
          </cell>
          <cell r="B786" t="str">
            <v>FAMILIZARATION TRIPS</v>
          </cell>
        </row>
        <row r="787">
          <cell r="A787" t="str">
            <v>532061-24</v>
          </cell>
          <cell r="B787" t="str">
            <v>CONTRACT SERVICES</v>
          </cell>
        </row>
        <row r="788">
          <cell r="A788" t="str">
            <v>532062-24</v>
          </cell>
          <cell r="B788" t="str">
            <v>E-COMMERCE</v>
          </cell>
        </row>
        <row r="789">
          <cell r="A789" t="str">
            <v>532063-24</v>
          </cell>
          <cell r="B789" t="str">
            <v>OUTSIDE SALES REPS</v>
          </cell>
        </row>
        <row r="790">
          <cell r="A790" t="str">
            <v>532064-24</v>
          </cell>
          <cell r="B790" t="str">
            <v>COLLATERAL/IN-HOUSE GRAPHICS</v>
          </cell>
        </row>
        <row r="791">
          <cell r="A791" t="str">
            <v>532065-24</v>
          </cell>
          <cell r="B791" t="str">
            <v>MEDIA</v>
          </cell>
        </row>
        <row r="792">
          <cell r="A792" t="str">
            <v>532069-24</v>
          </cell>
          <cell r="B792" t="str">
            <v>ADV INCENTIVE TRAVEL</v>
          </cell>
        </row>
        <row r="793">
          <cell r="A793" t="str">
            <v>532070-24</v>
          </cell>
          <cell r="B793" t="str">
            <v>MTG PLANNERS/DIRECTORY</v>
          </cell>
        </row>
        <row r="794">
          <cell r="A794" t="str">
            <v>532071-24</v>
          </cell>
          <cell r="B794" t="str">
            <v>MTG PLANNERS/MAGAZINE</v>
          </cell>
        </row>
        <row r="795">
          <cell r="A795" t="str">
            <v>532072-24</v>
          </cell>
          <cell r="B795" t="str">
            <v>TRAVEL/TRADE DIRECTORY</v>
          </cell>
        </row>
        <row r="796">
          <cell r="A796" t="str">
            <v>532073-24</v>
          </cell>
          <cell r="B796" t="str">
            <v>TRAVEL/TRADE MAGAZINE</v>
          </cell>
        </row>
        <row r="797">
          <cell r="A797" t="str">
            <v>532076-24</v>
          </cell>
          <cell r="B797" t="str">
            <v>DIRECT MAIL</v>
          </cell>
        </row>
        <row r="798">
          <cell r="A798" t="str">
            <v>532077-24</v>
          </cell>
          <cell r="B798" t="str">
            <v>SALES PROMO MAIL LISTS</v>
          </cell>
        </row>
        <row r="799">
          <cell r="A799" t="str">
            <v>532078-24</v>
          </cell>
          <cell r="B799" t="str">
            <v>SALES PROMO PROGRAMS</v>
          </cell>
        </row>
        <row r="800">
          <cell r="A800" t="str">
            <v>532079-24</v>
          </cell>
          <cell r="B800" t="str">
            <v>TRADE SHOWS</v>
          </cell>
        </row>
        <row r="801">
          <cell r="A801" t="str">
            <v>532080-24</v>
          </cell>
          <cell r="B801" t="str">
            <v>SPECIAL SERVICES</v>
          </cell>
        </row>
        <row r="802">
          <cell r="A802" t="str">
            <v>532081-24</v>
          </cell>
          <cell r="B802" t="str">
            <v>AGENCY FEES</v>
          </cell>
        </row>
        <row r="803">
          <cell r="A803" t="str">
            <v>532082-24</v>
          </cell>
          <cell r="B803" t="str">
            <v>SALES PROMO PREM/INCENT</v>
          </cell>
        </row>
        <row r="804">
          <cell r="A804" t="str">
            <v>532083-24</v>
          </cell>
          <cell r="B804" t="str">
            <v>RESERVE</v>
          </cell>
        </row>
        <row r="805">
          <cell r="A805" t="str">
            <v>533011-24</v>
          </cell>
          <cell r="B805" t="str">
            <v>PREFERRED HOTEL FEES</v>
          </cell>
        </row>
        <row r="806">
          <cell r="A806" t="str">
            <v>533013-12</v>
          </cell>
          <cell r="B806" t="str">
            <v>GRATIS FOOD</v>
          </cell>
        </row>
        <row r="807">
          <cell r="A807" t="str">
            <v>533049-02</v>
          </cell>
          <cell r="B807" t="str">
            <v>CLIENT APPRECIATION</v>
          </cell>
        </row>
        <row r="808">
          <cell r="A808" t="str">
            <v>533049-24</v>
          </cell>
          <cell r="B808" t="str">
            <v>HOSPITALITY CLUB</v>
          </cell>
        </row>
        <row r="809">
          <cell r="A809" t="str">
            <v>535009-02</v>
          </cell>
          <cell r="B809" t="str">
            <v>TA COMMISSIONS TRANSIENT</v>
          </cell>
        </row>
        <row r="810">
          <cell r="A810" t="str">
            <v>535009-03</v>
          </cell>
          <cell r="B810" t="str">
            <v>COMMISSIONS-OUTSIDE</v>
          </cell>
        </row>
        <row r="811">
          <cell r="A811" t="str">
            <v>535009-12</v>
          </cell>
          <cell r="B811" t="str">
            <v>COMMISSIONS OUTSIDE</v>
          </cell>
        </row>
        <row r="812">
          <cell r="A812" t="str">
            <v>535009-20</v>
          </cell>
          <cell r="B812" t="str">
            <v>OUTSIDE COMMISSIONS</v>
          </cell>
        </row>
        <row r="813">
          <cell r="A813" t="str">
            <v>535009-24</v>
          </cell>
          <cell r="B813" t="str">
            <v>TRAVEL AGENT COMMISSIONS</v>
          </cell>
        </row>
        <row r="814">
          <cell r="A814" t="str">
            <v>535009-36</v>
          </cell>
          <cell r="B814" t="str">
            <v>TECHNICIAN'S COMMISSIONS</v>
          </cell>
        </row>
        <row r="815">
          <cell r="A815" t="str">
            <v>535010-02</v>
          </cell>
          <cell r="B815" t="str">
            <v>TA COMMISSION GROUP</v>
          </cell>
        </row>
        <row r="816">
          <cell r="A816" t="str">
            <v>535011-24</v>
          </cell>
          <cell r="B816" t="str">
            <v>FREQ FLYER COMMISSIONS</v>
          </cell>
        </row>
        <row r="817">
          <cell r="A817" t="str">
            <v>535013-24</v>
          </cell>
          <cell r="B817" t="str">
            <v>FREQUENT GUEST</v>
          </cell>
        </row>
        <row r="818">
          <cell r="A818" t="str">
            <v>535014-24</v>
          </cell>
          <cell r="B818" t="str">
            <v>LOYALTY PROGRAMS (INCL. GOLD POINTS)</v>
          </cell>
        </row>
        <row r="819">
          <cell r="A819" t="str">
            <v>537002-02</v>
          </cell>
          <cell r="B819" t="str">
            <v>GUEST PARKING</v>
          </cell>
        </row>
        <row r="820">
          <cell r="A820" t="str">
            <v>537002-03</v>
          </cell>
          <cell r="B820" t="str">
            <v>GUEST PARKING</v>
          </cell>
        </row>
        <row r="821">
          <cell r="A821" t="str">
            <v>537002-12</v>
          </cell>
          <cell r="B821" t="str">
            <v>BEVERAGE PARKING</v>
          </cell>
        </row>
        <row r="822">
          <cell r="A822" t="str">
            <v>537007-02</v>
          </cell>
          <cell r="B822" t="str">
            <v>COMPLIMENTARY FOOD &amp; BEVERAGE</v>
          </cell>
        </row>
        <row r="823">
          <cell r="A823" t="str">
            <v>537009-03</v>
          </cell>
          <cell r="B823" t="str">
            <v>STAFF TRANSPORTATION</v>
          </cell>
        </row>
        <row r="824">
          <cell r="A824" t="str">
            <v>537009-12</v>
          </cell>
          <cell r="B824" t="str">
            <v>STAFF TRANSPORTATION</v>
          </cell>
        </row>
        <row r="825">
          <cell r="A825" t="str">
            <v>537009-20</v>
          </cell>
          <cell r="B825" t="str">
            <v>TRANSPORTATION - STAFF</v>
          </cell>
        </row>
        <row r="826">
          <cell r="A826" t="str">
            <v>537009-22</v>
          </cell>
          <cell r="B826" t="str">
            <v>TRANSPORTATION - STAFF</v>
          </cell>
        </row>
        <row r="827">
          <cell r="A827" t="str">
            <v>537010-02</v>
          </cell>
          <cell r="B827" t="str">
            <v>LIMO, VAN AND SHUTTLE OPERATING COSTS</v>
          </cell>
        </row>
        <row r="828">
          <cell r="A828" t="str">
            <v>537010-10</v>
          </cell>
          <cell r="B828" t="str">
            <v>LIMO, VAN AND SHUTTLE OPERATING COSTS</v>
          </cell>
        </row>
        <row r="829">
          <cell r="A829" t="str">
            <v>537010-20</v>
          </cell>
          <cell r="B829" t="str">
            <v>LIMO, VAN AND SHUTTLE OPERATING COSTS</v>
          </cell>
        </row>
        <row r="830">
          <cell r="A830" t="str">
            <v>537010-24</v>
          </cell>
          <cell r="B830" t="str">
            <v>LIMO, VAN AND SHUTTLE OPERATING COSTS</v>
          </cell>
        </row>
        <row r="831">
          <cell r="A831" t="str">
            <v>537011-02</v>
          </cell>
          <cell r="B831" t="str">
            <v>OTHER RESERVATION EXPENSE</v>
          </cell>
        </row>
        <row r="832">
          <cell r="A832" t="str">
            <v>537011-24</v>
          </cell>
          <cell r="B832" t="str">
            <v>RESERVATION EXPENSE</v>
          </cell>
        </row>
        <row r="833">
          <cell r="A833" t="str">
            <v>537012-02</v>
          </cell>
          <cell r="B833" t="str">
            <v>DECORATIONS</v>
          </cell>
        </row>
        <row r="834">
          <cell r="A834" t="str">
            <v>537012-03</v>
          </cell>
          <cell r="B834" t="str">
            <v>DECORATIONS</v>
          </cell>
        </row>
        <row r="835">
          <cell r="A835" t="str">
            <v>537012-10</v>
          </cell>
          <cell r="B835" t="str">
            <v>DECORATIONS</v>
          </cell>
        </row>
        <row r="836">
          <cell r="A836" t="str">
            <v>537012-12</v>
          </cell>
          <cell r="B836" t="str">
            <v>DECORATIONS</v>
          </cell>
        </row>
        <row r="837">
          <cell r="A837" t="str">
            <v>537012-22</v>
          </cell>
          <cell r="B837" t="str">
            <v>DECORATIONS</v>
          </cell>
        </row>
        <row r="838">
          <cell r="A838" t="str">
            <v>537012-36</v>
          </cell>
          <cell r="B838" t="str">
            <v>DECORATIONS</v>
          </cell>
        </row>
        <row r="839">
          <cell r="A839" t="str">
            <v>537012-41</v>
          </cell>
          <cell r="B839" t="str">
            <v>DECORATIONS</v>
          </cell>
        </row>
        <row r="840">
          <cell r="A840" t="str">
            <v>537012-83</v>
          </cell>
          <cell r="B840" t="str">
            <v>DECORATIONS</v>
          </cell>
        </row>
        <row r="841">
          <cell r="A841" t="str">
            <v>540001-20</v>
          </cell>
          <cell r="B841" t="str">
            <v>PROFESSIONAL FEES</v>
          </cell>
        </row>
        <row r="842">
          <cell r="A842" t="str">
            <v>540001-24</v>
          </cell>
          <cell r="B842" t="str">
            <v>PROFESSIONAL FEES</v>
          </cell>
        </row>
        <row r="843">
          <cell r="A843" t="str">
            <v>540002-20</v>
          </cell>
          <cell r="B843" t="str">
            <v>AUDIT FEES</v>
          </cell>
        </row>
        <row r="844">
          <cell r="A844" t="str">
            <v>540004-02</v>
          </cell>
          <cell r="B844" t="str">
            <v>MEALS &amp; ENTERTAINMENT</v>
          </cell>
        </row>
        <row r="845">
          <cell r="A845" t="str">
            <v>540004-03</v>
          </cell>
          <cell r="B845" t="str">
            <v>MEALS &amp; ENTERTAINMENT</v>
          </cell>
        </row>
        <row r="846">
          <cell r="A846" t="str">
            <v>540004-12</v>
          </cell>
          <cell r="B846" t="str">
            <v>MEALS &amp; ENTERTAINMENT</v>
          </cell>
        </row>
        <row r="847">
          <cell r="A847" t="str">
            <v>540004-20</v>
          </cell>
          <cell r="B847" t="str">
            <v>MEALS &amp; ENTERTAINMENT</v>
          </cell>
        </row>
        <row r="848">
          <cell r="A848" t="str">
            <v>540004-22</v>
          </cell>
          <cell r="B848" t="str">
            <v>MEALS &amp; ENTERTAINMENT</v>
          </cell>
        </row>
        <row r="849">
          <cell r="A849" t="str">
            <v>540004-24</v>
          </cell>
          <cell r="B849" t="str">
            <v>MEALS &amp; ENTERTAINMENT</v>
          </cell>
        </row>
        <row r="850">
          <cell r="A850" t="str">
            <v>540004-30</v>
          </cell>
          <cell r="B850" t="str">
            <v>MEALS &amp; ENTERTAINMENT</v>
          </cell>
        </row>
        <row r="851">
          <cell r="A851" t="str">
            <v>540004-36</v>
          </cell>
          <cell r="B851" t="str">
            <v>TRAVEL &amp; ENTERTAINMENT</v>
          </cell>
        </row>
        <row r="852">
          <cell r="A852" t="str">
            <v>540005-20</v>
          </cell>
          <cell r="B852" t="str">
            <v>PAYROLL SERVICE FEE</v>
          </cell>
        </row>
        <row r="853">
          <cell r="A853" t="str">
            <v>540005-24</v>
          </cell>
          <cell r="B853" t="str">
            <v>COMP SERVICES</v>
          </cell>
        </row>
        <row r="854">
          <cell r="A854" t="str">
            <v>540006-20</v>
          </cell>
          <cell r="B854" t="str">
            <v>LEGAL FEES</v>
          </cell>
        </row>
        <row r="855">
          <cell r="A855" t="str">
            <v>540006-25</v>
          </cell>
          <cell r="B855" t="str">
            <v>LEGAL FEES</v>
          </cell>
        </row>
        <row r="856">
          <cell r="A856" t="str">
            <v>540007-20</v>
          </cell>
          <cell r="B856" t="str">
            <v>SETTLEMENT COSTS</v>
          </cell>
        </row>
        <row r="857">
          <cell r="A857" t="str">
            <v>541002-20</v>
          </cell>
          <cell r="B857" t="str">
            <v>SECURITY SERVICES PURCHASED</v>
          </cell>
        </row>
        <row r="858">
          <cell r="A858" t="str">
            <v>542002-30</v>
          </cell>
          <cell r="B858" t="str">
            <v>HELP WANTED ADVERTISING</v>
          </cell>
        </row>
        <row r="859">
          <cell r="A859" t="str">
            <v>542005-30</v>
          </cell>
          <cell r="B859" t="str">
            <v>RECRUITMENT</v>
          </cell>
        </row>
        <row r="860">
          <cell r="A860" t="str">
            <v>543001-20</v>
          </cell>
          <cell r="B860" t="str">
            <v>DONATIONS</v>
          </cell>
        </row>
        <row r="861">
          <cell r="A861" t="str">
            <v>551003-02</v>
          </cell>
          <cell r="B861" t="str">
            <v>TECH SUPPORT/CONSULTING</v>
          </cell>
        </row>
        <row r="862">
          <cell r="A862" t="str">
            <v>551003-03</v>
          </cell>
          <cell r="B862" t="str">
            <v>TECH SUPPORT/CONSULTING</v>
          </cell>
        </row>
        <row r="863">
          <cell r="A863" t="str">
            <v>551003-12</v>
          </cell>
          <cell r="B863" t="str">
            <v>TECH SUPPORT/CONSULTING</v>
          </cell>
        </row>
        <row r="864">
          <cell r="A864" t="str">
            <v>551003-20</v>
          </cell>
          <cell r="B864" t="str">
            <v>TECH SUPPORT/CONSULTING</v>
          </cell>
        </row>
        <row r="865">
          <cell r="A865" t="str">
            <v>551003-22</v>
          </cell>
          <cell r="B865" t="str">
            <v>TECH SUPPORT/CONSULTING</v>
          </cell>
        </row>
        <row r="866">
          <cell r="A866" t="str">
            <v>551003-24</v>
          </cell>
          <cell r="B866" t="str">
            <v>TECH SUPPORT/CONSULTING</v>
          </cell>
        </row>
        <row r="867">
          <cell r="A867" t="str">
            <v>551003-30</v>
          </cell>
          <cell r="B867" t="str">
            <v>TECH SUPPORT/CONSULTING</v>
          </cell>
        </row>
        <row r="868">
          <cell r="A868" t="str">
            <v>551003-36</v>
          </cell>
          <cell r="B868" t="str">
            <v>TECH SUPPORT/CONSULTING</v>
          </cell>
        </row>
        <row r="869">
          <cell r="A869" t="str">
            <v>551013-03</v>
          </cell>
          <cell r="B869" t="str">
            <v>TECH SUPPORT/CONSULTING FEE</v>
          </cell>
        </row>
        <row r="870">
          <cell r="A870" t="str">
            <v>560003-25</v>
          </cell>
          <cell r="B870" t="str">
            <v>LEASEHOLD RENTAL</v>
          </cell>
        </row>
        <row r="871">
          <cell r="A871" t="str">
            <v>560004-25</v>
          </cell>
          <cell r="B871" t="str">
            <v>BUILDING RENT</v>
          </cell>
        </row>
        <row r="872">
          <cell r="A872" t="str">
            <v>560005-25</v>
          </cell>
          <cell r="B872" t="str">
            <v>PARTICIPATING RENT</v>
          </cell>
        </row>
        <row r="873">
          <cell r="A873" t="str">
            <v>560006-02</v>
          </cell>
          <cell r="B873" t="str">
            <v>EQUIPMENT RENTAL</v>
          </cell>
        </row>
        <row r="874">
          <cell r="A874" t="str">
            <v>560006-03</v>
          </cell>
          <cell r="B874" t="str">
            <v>EQUIPMENT RENTAL</v>
          </cell>
        </row>
        <row r="875">
          <cell r="A875" t="str">
            <v>560006-12</v>
          </cell>
          <cell r="B875" t="str">
            <v>EQUIPMENT RENTAL</v>
          </cell>
        </row>
        <row r="876">
          <cell r="A876" t="str">
            <v>560006-20</v>
          </cell>
          <cell r="B876" t="str">
            <v>EQUIPMENT RENTAL</v>
          </cell>
        </row>
        <row r="877">
          <cell r="A877" t="str">
            <v>560006-22</v>
          </cell>
          <cell r="B877" t="str">
            <v>EQUIPMENT RENTAL</v>
          </cell>
        </row>
        <row r="878">
          <cell r="A878" t="str">
            <v>560006-24</v>
          </cell>
          <cell r="B878" t="str">
            <v>EQUIPMENT RENTAL</v>
          </cell>
        </row>
        <row r="879">
          <cell r="A879" t="str">
            <v>560006-25</v>
          </cell>
          <cell r="B879" t="str">
            <v>GROUND RENTAL/COMM. AREA MTC.</v>
          </cell>
        </row>
        <row r="880">
          <cell r="A880" t="str">
            <v>560006-36</v>
          </cell>
          <cell r="B880" t="str">
            <v>EQUIPMENT RENTAL</v>
          </cell>
        </row>
        <row r="881">
          <cell r="A881" t="str">
            <v>560007-25</v>
          </cell>
          <cell r="B881" t="str">
            <v>RENT PAYMENT SALES TAX</v>
          </cell>
        </row>
        <row r="882">
          <cell r="A882" t="str">
            <v>560008-02</v>
          </cell>
          <cell r="B882" t="str">
            <v>CABLE/SATELLITE</v>
          </cell>
        </row>
        <row r="883">
          <cell r="A883" t="str">
            <v>561001-20</v>
          </cell>
          <cell r="B883" t="str">
            <v>DATA PROCESSING</v>
          </cell>
        </row>
        <row r="884">
          <cell r="A884" t="str">
            <v>561002-20</v>
          </cell>
          <cell r="B884" t="str">
            <v>TECHNOLOGY -  EQUIPMENT</v>
          </cell>
        </row>
        <row r="885">
          <cell r="A885" t="str">
            <v>561003-30</v>
          </cell>
          <cell r="B885" t="str">
            <v>MEDICAL SUPPLIES &amp; EXP</v>
          </cell>
        </row>
        <row r="886">
          <cell r="A886" t="str">
            <v>561004-02</v>
          </cell>
          <cell r="B886" t="str">
            <v>SYSTEMS EXPENSE</v>
          </cell>
        </row>
        <row r="887">
          <cell r="A887" t="str">
            <v>561004-03</v>
          </cell>
          <cell r="B887" t="str">
            <v>SYSTEMS EXPENSE</v>
          </cell>
        </row>
        <row r="888">
          <cell r="A888" t="str">
            <v>561004-20</v>
          </cell>
          <cell r="B888" t="str">
            <v>SYSTEMS EXPENSE</v>
          </cell>
        </row>
        <row r="889">
          <cell r="A889" t="str">
            <v>561004-22</v>
          </cell>
          <cell r="B889" t="str">
            <v>SYSTEMS EXPENSE</v>
          </cell>
        </row>
        <row r="890">
          <cell r="A890" t="str">
            <v>561004-24</v>
          </cell>
          <cell r="B890" t="str">
            <v>SYSTEMS EXPENSE</v>
          </cell>
        </row>
        <row r="891">
          <cell r="A891" t="str">
            <v>561004-61</v>
          </cell>
          <cell r="B891" t="str">
            <v>SYSTEMS EXPENSE</v>
          </cell>
        </row>
        <row r="892">
          <cell r="A892" t="str">
            <v>561006-02</v>
          </cell>
          <cell r="B892" t="str">
            <v>CLEANING SUPPLIES</v>
          </cell>
        </row>
        <row r="893">
          <cell r="A893" t="str">
            <v>561006-03</v>
          </cell>
          <cell r="B893" t="str">
            <v>CLEANING SUPPLIES</v>
          </cell>
        </row>
        <row r="894">
          <cell r="A894" t="str">
            <v>561006-12</v>
          </cell>
          <cell r="B894" t="str">
            <v>CLEANING SUPPLIES</v>
          </cell>
        </row>
        <row r="895">
          <cell r="A895" t="str">
            <v>561006-27</v>
          </cell>
          <cell r="B895" t="str">
            <v>CLEANING SUPPLIES</v>
          </cell>
        </row>
        <row r="896">
          <cell r="A896" t="str">
            <v>561006-36</v>
          </cell>
          <cell r="B896" t="str">
            <v>CLEANING SUPPLIES</v>
          </cell>
        </row>
        <row r="897">
          <cell r="A897" t="str">
            <v>561006-41</v>
          </cell>
          <cell r="B897" t="str">
            <v>CLEANING SUPPLIES</v>
          </cell>
        </row>
        <row r="898">
          <cell r="A898" t="str">
            <v>561006-61</v>
          </cell>
          <cell r="B898" t="str">
            <v>CLEANING SUPPLIES</v>
          </cell>
        </row>
        <row r="899">
          <cell r="A899" t="str">
            <v>561006-83</v>
          </cell>
          <cell r="B899" t="str">
            <v>CLEANING SUPPLIES</v>
          </cell>
        </row>
        <row r="900">
          <cell r="A900" t="str">
            <v>561007-02</v>
          </cell>
          <cell r="B900" t="str">
            <v>EXTERMINATION</v>
          </cell>
        </row>
        <row r="901">
          <cell r="A901" t="str">
            <v>561007-03</v>
          </cell>
          <cell r="B901" t="str">
            <v>EXTERMINATION</v>
          </cell>
        </row>
        <row r="902">
          <cell r="A902" t="str">
            <v>561007-12</v>
          </cell>
          <cell r="B902" t="str">
            <v>EXTERMINATION</v>
          </cell>
        </row>
        <row r="903">
          <cell r="A903" t="str">
            <v>561007-22</v>
          </cell>
          <cell r="B903" t="str">
            <v>SUPPLIES BUILDING</v>
          </cell>
        </row>
        <row r="904">
          <cell r="A904" t="str">
            <v>561007-61</v>
          </cell>
          <cell r="B904" t="str">
            <v>EXTERMINATION</v>
          </cell>
        </row>
        <row r="905">
          <cell r="A905" t="str">
            <v>561012-22</v>
          </cell>
          <cell r="B905" t="str">
            <v>SUPPLIES PAINTING</v>
          </cell>
        </row>
        <row r="906">
          <cell r="A906" t="str">
            <v>561013-02</v>
          </cell>
          <cell r="B906" t="str">
            <v>UNIFORM SUPPLIES</v>
          </cell>
        </row>
        <row r="907">
          <cell r="A907" t="str">
            <v>561013-03</v>
          </cell>
          <cell r="B907" t="str">
            <v>UNIFORM SUPPLIES</v>
          </cell>
        </row>
        <row r="908">
          <cell r="A908" t="str">
            <v>561013-12</v>
          </cell>
          <cell r="B908" t="str">
            <v>UNIFORM SUPPLIES</v>
          </cell>
        </row>
        <row r="909">
          <cell r="A909" t="str">
            <v>561013-20</v>
          </cell>
          <cell r="B909" t="str">
            <v>UNIFORM SUPPLIES</v>
          </cell>
        </row>
        <row r="910">
          <cell r="A910" t="str">
            <v>561013-22</v>
          </cell>
          <cell r="B910" t="str">
            <v>UNIFORM SUPPLIES</v>
          </cell>
        </row>
        <row r="911">
          <cell r="A911" t="str">
            <v>561013-27</v>
          </cell>
          <cell r="B911" t="str">
            <v>UNIFORM SUPPLIES</v>
          </cell>
        </row>
        <row r="912">
          <cell r="A912" t="str">
            <v>561013-36</v>
          </cell>
          <cell r="B912" t="str">
            <v>UNIFORM SUPPLIES</v>
          </cell>
        </row>
        <row r="913">
          <cell r="A913" t="str">
            <v>561013-38</v>
          </cell>
          <cell r="B913" t="str">
            <v>UNIFORMS</v>
          </cell>
        </row>
        <row r="914">
          <cell r="A914" t="str">
            <v>561013-41</v>
          </cell>
          <cell r="B914" t="str">
            <v>UNIFORMS</v>
          </cell>
        </row>
        <row r="915">
          <cell r="A915" t="str">
            <v>561013-61</v>
          </cell>
          <cell r="B915" t="str">
            <v>UNIFORM SUPPLIES</v>
          </cell>
        </row>
        <row r="916">
          <cell r="A916" t="str">
            <v>561013-83</v>
          </cell>
          <cell r="B916" t="str">
            <v>UNIFORM SUPPLIES</v>
          </cell>
        </row>
        <row r="917">
          <cell r="A917" t="str">
            <v>561014-03</v>
          </cell>
          <cell r="B917" t="str">
            <v>PAPER &amp; PLASTIC SUPPLIES</v>
          </cell>
        </row>
        <row r="918">
          <cell r="A918" t="str">
            <v>561014-12</v>
          </cell>
          <cell r="B918" t="str">
            <v>PAPER &amp; PLASTIC SUPPLIES</v>
          </cell>
        </row>
        <row r="919">
          <cell r="A919" t="str">
            <v>561014-36</v>
          </cell>
          <cell r="B919" t="str">
            <v>PAPER &amp; PLASTIC SUPPLIES</v>
          </cell>
        </row>
        <row r="920">
          <cell r="A920" t="str">
            <v>561014-83</v>
          </cell>
          <cell r="B920" t="str">
            <v>PAPER &amp; PLASTIC SUPPLIES</v>
          </cell>
        </row>
        <row r="921">
          <cell r="A921" t="str">
            <v>561016-02</v>
          </cell>
          <cell r="B921" t="str">
            <v>LINEN SUPPLIES</v>
          </cell>
        </row>
        <row r="922">
          <cell r="A922" t="str">
            <v>561016-03</v>
          </cell>
          <cell r="B922" t="str">
            <v>LINEN SUPPLIES</v>
          </cell>
        </row>
        <row r="923">
          <cell r="A923" t="str">
            <v>561016-12</v>
          </cell>
          <cell r="B923" t="str">
            <v>LINEN SUPPLIES</v>
          </cell>
        </row>
        <row r="924">
          <cell r="A924" t="str">
            <v>561016-36</v>
          </cell>
          <cell r="B924" t="str">
            <v>LINEN SUPPLIES</v>
          </cell>
        </row>
        <row r="925">
          <cell r="A925" t="str">
            <v>561017-22</v>
          </cell>
          <cell r="B925" t="str">
            <v>ENGINEERING SUPPLIES</v>
          </cell>
        </row>
        <row r="926">
          <cell r="A926" t="str">
            <v>561050-02</v>
          </cell>
          <cell r="B926" t="str">
            <v>PRINTING/STATIONARY</v>
          </cell>
        </row>
        <row r="927">
          <cell r="A927" t="str">
            <v>561050-03</v>
          </cell>
          <cell r="B927" t="str">
            <v>PRINTING/STATIONARY</v>
          </cell>
        </row>
        <row r="928">
          <cell r="A928" t="str">
            <v>561050-12</v>
          </cell>
          <cell r="B928" t="str">
            <v>PRINTING/STATIONERY</v>
          </cell>
        </row>
        <row r="929">
          <cell r="A929" t="str">
            <v>561050-20</v>
          </cell>
          <cell r="B929" t="str">
            <v>PRINTING/STATIONERY</v>
          </cell>
        </row>
        <row r="930">
          <cell r="A930" t="str">
            <v>561050-24</v>
          </cell>
          <cell r="B930" t="str">
            <v>PRINTING/STATIONERY</v>
          </cell>
        </row>
        <row r="931">
          <cell r="A931" t="str">
            <v>561050-30</v>
          </cell>
          <cell r="B931" t="str">
            <v>PRINTING &amp; STAIONERY</v>
          </cell>
        </row>
        <row r="932">
          <cell r="A932" t="str">
            <v>561050-36</v>
          </cell>
          <cell r="B932" t="str">
            <v>PRINTING &amp; STATIONERY</v>
          </cell>
        </row>
        <row r="933">
          <cell r="A933" t="str">
            <v>561050-41</v>
          </cell>
          <cell r="B933" t="str">
            <v>PRINTING &amp; STATIONARY</v>
          </cell>
        </row>
        <row r="934">
          <cell r="A934" t="str">
            <v>561050-61</v>
          </cell>
          <cell r="B934" t="str">
            <v>PRINTING/STATIONERY</v>
          </cell>
        </row>
        <row r="935">
          <cell r="A935" t="str">
            <v>561050-83</v>
          </cell>
          <cell r="B935" t="str">
            <v>PRINTING AND STATIONERY</v>
          </cell>
        </row>
        <row r="936">
          <cell r="A936" t="str">
            <v>561052-03</v>
          </cell>
          <cell r="B936" t="str">
            <v>FLATWARE</v>
          </cell>
        </row>
        <row r="937">
          <cell r="A937" t="str">
            <v>561053-02</v>
          </cell>
          <cell r="B937" t="str">
            <v>CHINA/GLASS SUPPLIES</v>
          </cell>
        </row>
        <row r="938">
          <cell r="A938" t="str">
            <v>561053-03</v>
          </cell>
          <cell r="B938" t="str">
            <v>CHINA/GLASS SUPPLIES</v>
          </cell>
        </row>
        <row r="939">
          <cell r="A939" t="str">
            <v>561053-12</v>
          </cell>
          <cell r="B939" t="str">
            <v>CHINA/GLASS SUPPLIES</v>
          </cell>
        </row>
        <row r="940">
          <cell r="A940" t="str">
            <v>561053-61</v>
          </cell>
          <cell r="B940" t="str">
            <v>CHINA/GLASS SUPPLIES</v>
          </cell>
        </row>
        <row r="941">
          <cell r="A941" t="str">
            <v>561054-02</v>
          </cell>
          <cell r="B941" t="str">
            <v>KITCHEN UTENSILS</v>
          </cell>
        </row>
        <row r="942">
          <cell r="A942" t="str">
            <v>561054-03</v>
          </cell>
          <cell r="B942" t="str">
            <v>UTENSIL SUPPLIES</v>
          </cell>
        </row>
        <row r="943">
          <cell r="A943" t="str">
            <v>561055-03</v>
          </cell>
          <cell r="B943" t="str">
            <v>MENU SUPPLIES</v>
          </cell>
        </row>
        <row r="944">
          <cell r="A944" t="str">
            <v>561055-12</v>
          </cell>
          <cell r="B944" t="str">
            <v>MENU SUPPLIES</v>
          </cell>
        </row>
        <row r="945">
          <cell r="A945" t="str">
            <v>561056-12</v>
          </cell>
          <cell r="B945" t="str">
            <v>BAR SUPPLIES</v>
          </cell>
        </row>
        <row r="946">
          <cell r="A946" t="str">
            <v>561056-61</v>
          </cell>
          <cell r="B946" t="str">
            <v>BAR SUPPLIES</v>
          </cell>
        </row>
        <row r="947">
          <cell r="A947" t="str">
            <v>561057-02</v>
          </cell>
          <cell r="B947" t="str">
            <v>GUEST SUPPLIES</v>
          </cell>
        </row>
        <row r="948">
          <cell r="A948" t="str">
            <v>561057-03</v>
          </cell>
          <cell r="B948" t="str">
            <v>GUEST SUPPLIES</v>
          </cell>
        </row>
        <row r="949">
          <cell r="A949" t="str">
            <v>561057-12</v>
          </cell>
          <cell r="B949" t="str">
            <v>GUEST SUPPLIES</v>
          </cell>
        </row>
        <row r="950">
          <cell r="A950" t="str">
            <v>561057-36</v>
          </cell>
          <cell r="B950" t="str">
            <v>GUEST SUPPLIES</v>
          </cell>
        </row>
        <row r="951">
          <cell r="A951" t="str">
            <v>561057-61</v>
          </cell>
          <cell r="B951" t="str">
            <v>GUEST SUPPLIES</v>
          </cell>
        </row>
        <row r="952">
          <cell r="A952" t="str">
            <v>561059-03</v>
          </cell>
          <cell r="B952" t="str">
            <v>KITCHEN FUEL</v>
          </cell>
        </row>
        <row r="953">
          <cell r="A953" t="str">
            <v>561059-38</v>
          </cell>
          <cell r="B953" t="str">
            <v>ACTIVITY SUPPLIES</v>
          </cell>
        </row>
        <row r="954">
          <cell r="A954" t="str">
            <v>561060-02</v>
          </cell>
          <cell r="B954" t="str">
            <v>OPERATING SUPPLIES (SMALL VALUE ASSETS)</v>
          </cell>
        </row>
        <row r="955">
          <cell r="A955" t="str">
            <v>563002-02</v>
          </cell>
          <cell r="B955" t="str">
            <v>CONTRACT CLEANING</v>
          </cell>
        </row>
        <row r="956">
          <cell r="A956" t="str">
            <v>563002-03</v>
          </cell>
          <cell r="B956" t="str">
            <v>CONTRACT CLEANING</v>
          </cell>
        </row>
        <row r="957">
          <cell r="A957" t="str">
            <v>563002-12</v>
          </cell>
          <cell r="B957" t="str">
            <v>CONTRACT CLEANING</v>
          </cell>
        </row>
        <row r="958">
          <cell r="A958" t="str">
            <v>563002-22</v>
          </cell>
          <cell r="B958" t="str">
            <v>CONTRACT SERVICES</v>
          </cell>
        </row>
        <row r="959">
          <cell r="A959" t="str">
            <v>563003-03</v>
          </cell>
          <cell r="B959" t="str">
            <v>CONTRACT SERVICE STAFF</v>
          </cell>
        </row>
        <row r="960">
          <cell r="A960" t="str">
            <v>563003-10</v>
          </cell>
          <cell r="B960" t="str">
            <v>CONTRACT SERVICE STAFF</v>
          </cell>
        </row>
        <row r="961">
          <cell r="A961" t="str">
            <v>563008-22</v>
          </cell>
          <cell r="B961" t="str">
            <v>GROUNDS &amp; LANDSCAPING</v>
          </cell>
        </row>
        <row r="962">
          <cell r="A962" t="str">
            <v>563010-22</v>
          </cell>
          <cell r="B962" t="str">
            <v>WASTE REMOVAL</v>
          </cell>
        </row>
        <row r="963">
          <cell r="A963" t="str">
            <v>563013-03</v>
          </cell>
          <cell r="B963" t="str">
            <v>ENTERTAINMENT</v>
          </cell>
        </row>
        <row r="964">
          <cell r="A964" t="str">
            <v>563013-12</v>
          </cell>
          <cell r="B964" t="str">
            <v>ENTERTAINMENT LOUNGE</v>
          </cell>
        </row>
        <row r="965">
          <cell r="A965" t="str">
            <v>563014-02</v>
          </cell>
          <cell r="B965" t="str">
            <v>LAUNDRY/DRY CLEANING</v>
          </cell>
        </row>
        <row r="966">
          <cell r="A966" t="str">
            <v>563014-03</v>
          </cell>
          <cell r="B966" t="str">
            <v>DRY CLEANING</v>
          </cell>
        </row>
        <row r="967">
          <cell r="A967" t="str">
            <v>563014-12</v>
          </cell>
          <cell r="B967" t="str">
            <v>DRY CLEANING</v>
          </cell>
        </row>
        <row r="968">
          <cell r="A968" t="str">
            <v>563014-20</v>
          </cell>
          <cell r="B968" t="str">
            <v>LAUNDRY/DRY CLEANING</v>
          </cell>
        </row>
        <row r="969">
          <cell r="A969" t="str">
            <v>563014-24</v>
          </cell>
          <cell r="B969" t="str">
            <v>DRY CLEANING</v>
          </cell>
        </row>
        <row r="970">
          <cell r="A970" t="str">
            <v>563014-27</v>
          </cell>
          <cell r="B970" t="str">
            <v>LAUNDRY/DRY CLEANING</v>
          </cell>
        </row>
        <row r="971">
          <cell r="A971" t="str">
            <v>563015-02</v>
          </cell>
          <cell r="B971" t="str">
            <v>OUTSIDE LAUNDRY-LINEN</v>
          </cell>
        </row>
        <row r="972">
          <cell r="A972" t="str">
            <v>563015-03</v>
          </cell>
          <cell r="B972" t="str">
            <v>OUTSIDE LAUNDRY-LINEN</v>
          </cell>
        </row>
        <row r="973">
          <cell r="A973" t="str">
            <v>563015-12</v>
          </cell>
          <cell r="B973" t="str">
            <v>ENTERTAINMENT LOBBY LOUNGE</v>
          </cell>
        </row>
        <row r="974">
          <cell r="A974" t="str">
            <v>563016-03</v>
          </cell>
          <cell r="B974" t="str">
            <v>ENTERTAINMENT DINING ROOM</v>
          </cell>
        </row>
        <row r="975">
          <cell r="A975" t="str">
            <v>563016-12</v>
          </cell>
          <cell r="B975" t="str">
            <v>ENTERTAINMENT BEACH</v>
          </cell>
        </row>
        <row r="976">
          <cell r="A976" t="str">
            <v>563017-03</v>
          </cell>
          <cell r="B976" t="str">
            <v>ENTERTAINMENT BRUNCH</v>
          </cell>
        </row>
        <row r="977">
          <cell r="A977" t="str">
            <v>563018-02</v>
          </cell>
          <cell r="B977" t="str">
            <v>OFFICE EQUIPMENT</v>
          </cell>
        </row>
        <row r="978">
          <cell r="A978" t="str">
            <v>563018-03</v>
          </cell>
          <cell r="B978" t="str">
            <v>OFFICE EQUIPMENT</v>
          </cell>
        </row>
        <row r="979">
          <cell r="A979" t="str">
            <v>563018-12</v>
          </cell>
          <cell r="B979" t="str">
            <v>OFFICE EQUIPMENT</v>
          </cell>
        </row>
        <row r="980">
          <cell r="A980" t="str">
            <v>563018-20</v>
          </cell>
          <cell r="B980" t="str">
            <v>OFFICE EQUIPMENT</v>
          </cell>
        </row>
        <row r="981">
          <cell r="A981" t="str">
            <v>563018-22</v>
          </cell>
          <cell r="B981" t="str">
            <v>OFFICE EQUIPMENT</v>
          </cell>
        </row>
        <row r="982">
          <cell r="A982" t="str">
            <v>563018-24</v>
          </cell>
          <cell r="B982" t="str">
            <v>OFFICE EQUIPMENT</v>
          </cell>
        </row>
        <row r="983">
          <cell r="A983" t="str">
            <v>563018-41</v>
          </cell>
          <cell r="B983" t="str">
            <v>OFFICE EQUIPMENT</v>
          </cell>
        </row>
        <row r="984">
          <cell r="A984" t="str">
            <v>563018-83</v>
          </cell>
          <cell r="B984" t="str">
            <v>OFFICE EQUIPMENT</v>
          </cell>
        </row>
        <row r="985">
          <cell r="A985" t="str">
            <v>563019-02</v>
          </cell>
          <cell r="B985" t="str">
            <v>GUEST ENTERTAINMENT</v>
          </cell>
        </row>
        <row r="986">
          <cell r="A986" t="str">
            <v>563019-03</v>
          </cell>
          <cell r="B986" t="str">
            <v>ENTERTAINMENT SPEC OCC</v>
          </cell>
        </row>
        <row r="987">
          <cell r="A987" t="str">
            <v>563019-12</v>
          </cell>
          <cell r="B987" t="str">
            <v>ENTERTAINMENT-SPEC OCC</v>
          </cell>
        </row>
        <row r="988">
          <cell r="A988" t="str">
            <v>563020-12</v>
          </cell>
          <cell r="B988" t="str">
            <v>MECHANICAL MUSIC SYSTEM</v>
          </cell>
        </row>
        <row r="989">
          <cell r="A989" t="str">
            <v>563020-61</v>
          </cell>
          <cell r="B989" t="str">
            <v>MECHANICAL MUSIC SYS</v>
          </cell>
        </row>
        <row r="990">
          <cell r="A990" t="str">
            <v>563020-83</v>
          </cell>
          <cell r="B990" t="str">
            <v>MECHANICAL MUSIC SYSTEM</v>
          </cell>
        </row>
        <row r="991">
          <cell r="A991" t="str">
            <v>563021-12</v>
          </cell>
          <cell r="B991" t="str">
            <v>MUSIC LICENSES</v>
          </cell>
        </row>
        <row r="992">
          <cell r="A992" t="str">
            <v>563022-03</v>
          </cell>
          <cell r="B992" t="str">
            <v>TALENT AGENT FEE</v>
          </cell>
        </row>
        <row r="993">
          <cell r="A993" t="str">
            <v>563022-12</v>
          </cell>
          <cell r="B993" t="str">
            <v>TALENT AGENT FEE</v>
          </cell>
        </row>
        <row r="994">
          <cell r="A994" t="str">
            <v>563023-03</v>
          </cell>
          <cell r="B994" t="str">
            <v>PIANO TUNING</v>
          </cell>
        </row>
        <row r="995">
          <cell r="A995" t="str">
            <v>563023-12</v>
          </cell>
          <cell r="B995" t="str">
            <v>PIANO TUNING</v>
          </cell>
        </row>
        <row r="996">
          <cell r="A996" t="str">
            <v>563030-22</v>
          </cell>
          <cell r="B996" t="str">
            <v>INCIDENTAL FOOD &amp; BEVERAGE</v>
          </cell>
        </row>
        <row r="997">
          <cell r="A997" t="str">
            <v>563030-24</v>
          </cell>
          <cell r="B997" t="str">
            <v>VIP AMENITIES</v>
          </cell>
        </row>
        <row r="998">
          <cell r="A998" t="str">
            <v>565001-22</v>
          </cell>
          <cell r="B998" t="str">
            <v>LIGHT BULBS</v>
          </cell>
        </row>
        <row r="999">
          <cell r="A999" t="str">
            <v>565001-25</v>
          </cell>
          <cell r="B999" t="str">
            <v>ROYALTY FEE</v>
          </cell>
        </row>
        <row r="1000">
          <cell r="A1000" t="str">
            <v>565001-83</v>
          </cell>
          <cell r="B1000" t="str">
            <v>ROYALTY FEE</v>
          </cell>
        </row>
        <row r="1001">
          <cell r="A1001" t="str">
            <v>565003-22</v>
          </cell>
          <cell r="B1001" t="str">
            <v>FLOOR COVERING</v>
          </cell>
        </row>
        <row r="1002">
          <cell r="A1002" t="str">
            <v>565005-25</v>
          </cell>
          <cell r="B1002" t="str">
            <v>CAPITALIZED LEASE/NON-OP LEASE EXP.</v>
          </cell>
        </row>
        <row r="1003">
          <cell r="A1003" t="str">
            <v>565006-22</v>
          </cell>
          <cell r="B1003" t="str">
            <v>LOCKS AND KEYS</v>
          </cell>
        </row>
        <row r="1004">
          <cell r="A1004" t="str">
            <v>565007-22</v>
          </cell>
          <cell r="B1004" t="str">
            <v>PARTS ELEVATOR</v>
          </cell>
        </row>
        <row r="1005">
          <cell r="A1005" t="str">
            <v>565008-22</v>
          </cell>
          <cell r="B1005" t="str">
            <v>HVAC PARTS</v>
          </cell>
        </row>
        <row r="1006">
          <cell r="A1006" t="str">
            <v>565009-22</v>
          </cell>
          <cell r="B1006" t="str">
            <v>ELECTRICAL &amp; MECHANICAL EQUIPMENT</v>
          </cell>
        </row>
        <row r="1007">
          <cell r="A1007" t="str">
            <v>565010-22</v>
          </cell>
          <cell r="B1007" t="str">
            <v>KITCHEN EQUIPMENT</v>
          </cell>
        </row>
        <row r="1008">
          <cell r="A1008" t="str">
            <v>565011-22</v>
          </cell>
          <cell r="B1008" t="str">
            <v>LAUNDRY EQUIPMENT</v>
          </cell>
        </row>
        <row r="1009">
          <cell r="A1009" t="str">
            <v>565011-27</v>
          </cell>
          <cell r="B1009" t="str">
            <v>LAUNDRY SUPPLIES</v>
          </cell>
        </row>
        <row r="1010">
          <cell r="A1010" t="str">
            <v>565012-22</v>
          </cell>
          <cell r="B1010" t="str">
            <v>PARTS TELEVISIONS</v>
          </cell>
        </row>
        <row r="1011">
          <cell r="A1011" t="str">
            <v>565013-22</v>
          </cell>
          <cell r="B1011" t="str">
            <v>PLUMBING</v>
          </cell>
        </row>
        <row r="1012">
          <cell r="A1012" t="str">
            <v>565014-22</v>
          </cell>
          <cell r="B1012" t="str">
            <v>FURNITURE &amp; EQUIPMENT</v>
          </cell>
        </row>
        <row r="1013">
          <cell r="A1013" t="str">
            <v>565015-02</v>
          </cell>
          <cell r="B1013" t="str">
            <v>LIMOUSINE REPAIR</v>
          </cell>
        </row>
        <row r="1014">
          <cell r="A1014" t="str">
            <v>565015-22</v>
          </cell>
          <cell r="B1014" t="str">
            <v>VEHICLE REPAIRS</v>
          </cell>
        </row>
        <row r="1015">
          <cell r="A1015" t="str">
            <v>565016-22</v>
          </cell>
          <cell r="B1015" t="str">
            <v>PARTS AUDIO VISUAL</v>
          </cell>
        </row>
        <row r="1016">
          <cell r="A1016" t="str">
            <v>565040-22</v>
          </cell>
          <cell r="B1016" t="str">
            <v>SWIMMING POOL</v>
          </cell>
        </row>
        <row r="1017">
          <cell r="A1017" t="str">
            <v>565041-22</v>
          </cell>
          <cell r="B1017" t="str">
            <v>LIFE SAFETY</v>
          </cell>
        </row>
        <row r="1018">
          <cell r="A1018" t="str">
            <v>570001-21</v>
          </cell>
          <cell r="B1018" t="str">
            <v>ELECTRICITY</v>
          </cell>
        </row>
        <row r="1019">
          <cell r="A1019" t="str">
            <v>570002-21</v>
          </cell>
          <cell r="B1019" t="str">
            <v>GAS FIRM</v>
          </cell>
        </row>
        <row r="1020">
          <cell r="A1020" t="str">
            <v>570003-21</v>
          </cell>
          <cell r="B1020" t="str">
            <v>WATER/SEWER</v>
          </cell>
        </row>
        <row r="1021">
          <cell r="A1021" t="str">
            <v>570004-21</v>
          </cell>
          <cell r="B1021" t="str">
            <v>STEAM</v>
          </cell>
        </row>
        <row r="1022">
          <cell r="A1022" t="str">
            <v>570005-21</v>
          </cell>
          <cell r="B1022" t="str">
            <v>FUEL OIL</v>
          </cell>
        </row>
        <row r="1023">
          <cell r="A1023" t="str">
            <v>570006-21</v>
          </cell>
          <cell r="B1023" t="str">
            <v>GAS INTERRUPTABLE</v>
          </cell>
        </row>
        <row r="1024">
          <cell r="A1024" t="str">
            <v>570007-21</v>
          </cell>
          <cell r="B1024" t="str">
            <v>CHILLED WATER</v>
          </cell>
        </row>
        <row r="1025">
          <cell r="A1025" t="str">
            <v>580002-02</v>
          </cell>
          <cell r="B1025" t="str">
            <v>TELECOMMUNICATIONS</v>
          </cell>
        </row>
        <row r="1026">
          <cell r="A1026" t="str">
            <v>580002-03</v>
          </cell>
          <cell r="B1026" t="str">
            <v>TELECOMMUNICATIONS</v>
          </cell>
        </row>
        <row r="1027">
          <cell r="A1027" t="str">
            <v>580002-10</v>
          </cell>
          <cell r="B1027" t="str">
            <v>LONG DIST TELEPHONE</v>
          </cell>
        </row>
        <row r="1028">
          <cell r="A1028" t="str">
            <v>580002-12</v>
          </cell>
          <cell r="B1028" t="str">
            <v>TELECOMMUNICATIONS</v>
          </cell>
        </row>
        <row r="1029">
          <cell r="A1029" t="str">
            <v>580002-20</v>
          </cell>
          <cell r="B1029" t="str">
            <v>LONG DIST TELEPHONE</v>
          </cell>
        </row>
        <row r="1030">
          <cell r="A1030" t="str">
            <v>580002-22</v>
          </cell>
          <cell r="B1030" t="str">
            <v>TELECOMMUNICATIONS</v>
          </cell>
        </row>
        <row r="1031">
          <cell r="A1031" t="str">
            <v>580002-24</v>
          </cell>
          <cell r="B1031" t="str">
            <v>TELECOMMUNICATIONS</v>
          </cell>
        </row>
        <row r="1032">
          <cell r="A1032" t="str">
            <v>580002-27</v>
          </cell>
          <cell r="B1032" t="str">
            <v>LONG DIST TELEPHONE</v>
          </cell>
        </row>
        <row r="1033">
          <cell r="A1033" t="str">
            <v>580002-30</v>
          </cell>
          <cell r="B1033" t="str">
            <v>TELECOMMUNICATIONS</v>
          </cell>
        </row>
        <row r="1034">
          <cell r="A1034" t="str">
            <v>580002-36</v>
          </cell>
          <cell r="B1034" t="str">
            <v>LONG DIST TELEPHONE</v>
          </cell>
        </row>
        <row r="1035">
          <cell r="A1035" t="str">
            <v>580002-38</v>
          </cell>
          <cell r="B1035" t="str">
            <v>LONG DIST TELEPHONE</v>
          </cell>
        </row>
        <row r="1036">
          <cell r="A1036" t="str">
            <v>580002-41</v>
          </cell>
          <cell r="B1036" t="str">
            <v>TELEPHONE</v>
          </cell>
        </row>
        <row r="1037">
          <cell r="A1037" t="str">
            <v>580002-83</v>
          </cell>
          <cell r="B1037" t="str">
            <v>TELEPHONE</v>
          </cell>
        </row>
        <row r="1038">
          <cell r="A1038" t="str">
            <v>580003-41</v>
          </cell>
          <cell r="B1038" t="str">
            <v>FREIGHT</v>
          </cell>
        </row>
        <row r="1039">
          <cell r="A1039" t="str">
            <v>580003-83</v>
          </cell>
          <cell r="B1039" t="str">
            <v>FREIGHT</v>
          </cell>
        </row>
        <row r="1040">
          <cell r="A1040" t="str">
            <v>580005-34</v>
          </cell>
          <cell r="B1040" t="str">
            <v>EQUIPMENT LEASE EXPENSE</v>
          </cell>
        </row>
        <row r="1041">
          <cell r="A1041" t="str">
            <v>580006-34</v>
          </cell>
          <cell r="B1041" t="str">
            <v>MAINTENANCE CONTRACT SERVICES</v>
          </cell>
        </row>
        <row r="1042">
          <cell r="A1042" t="str">
            <v>580008-34</v>
          </cell>
          <cell r="B1042" t="str">
            <v>MAINT TIME/MATERIAL</v>
          </cell>
        </row>
        <row r="1043">
          <cell r="A1043" t="str">
            <v>580009-20</v>
          </cell>
          <cell r="B1043" t="str">
            <v>INTERNAL COMMUNICATIONS</v>
          </cell>
        </row>
        <row r="1044">
          <cell r="A1044" t="str">
            <v>580010-34</v>
          </cell>
          <cell r="B1044" t="str">
            <v>EQUIP MOVES/CHANGES</v>
          </cell>
        </row>
        <row r="1045">
          <cell r="A1045" t="str">
            <v>581002-20</v>
          </cell>
          <cell r="B1045" t="str">
            <v>POSTAGE</v>
          </cell>
        </row>
        <row r="1046">
          <cell r="A1046" t="str">
            <v>581002-24</v>
          </cell>
          <cell r="B1046" t="str">
            <v>POSTAGE</v>
          </cell>
        </row>
        <row r="1047">
          <cell r="A1047" t="str">
            <v>581002-41</v>
          </cell>
          <cell r="B1047" t="str">
            <v>POSTAGE</v>
          </cell>
        </row>
        <row r="1048">
          <cell r="A1048" t="str">
            <v>581002-83</v>
          </cell>
          <cell r="B1048" t="str">
            <v>POSTAGE</v>
          </cell>
        </row>
        <row r="1049">
          <cell r="A1049" t="str">
            <v>581003-12</v>
          </cell>
          <cell r="B1049" t="str">
            <v>SHIPPING CHARGES</v>
          </cell>
        </row>
        <row r="1050">
          <cell r="A1050" t="str">
            <v>581003-20</v>
          </cell>
          <cell r="B1050" t="str">
            <v>FREIGHT/CARTAGE/STORAGE</v>
          </cell>
        </row>
        <row r="1051">
          <cell r="A1051" t="str">
            <v>594003-20</v>
          </cell>
          <cell r="B1051" t="str">
            <v>LOST/DAMAGED GOODS</v>
          </cell>
        </row>
        <row r="1052">
          <cell r="A1052" t="str">
            <v>596001-20</v>
          </cell>
          <cell r="B1052" t="str">
            <v>GEN LIABILITY INSURANCE</v>
          </cell>
        </row>
        <row r="1053">
          <cell r="A1053" t="str">
            <v>596001-25</v>
          </cell>
          <cell r="B1053" t="str">
            <v>PROPERTY INSURANCE</v>
          </cell>
        </row>
        <row r="1054">
          <cell r="A1054" t="str">
            <v>596002-25</v>
          </cell>
          <cell r="B1054" t="str">
            <v>GENERAL LIABILITY INSURANCE</v>
          </cell>
        </row>
        <row r="1055">
          <cell r="A1055" t="str">
            <v>596004-28</v>
          </cell>
          <cell r="B1055" t="str">
            <v>WORKERS COMP</v>
          </cell>
        </row>
        <row r="1056">
          <cell r="A1056" t="str">
            <v>599997-20</v>
          </cell>
          <cell r="B1056" t="str">
            <v>HR TAXES &amp; BENEFITS</v>
          </cell>
        </row>
        <row r="1057">
          <cell r="A1057" t="str">
            <v>601001-25</v>
          </cell>
          <cell r="B1057" t="str">
            <v>PERSONAL PROPERTY TAX</v>
          </cell>
        </row>
        <row r="1058">
          <cell r="A1058" t="str">
            <v>601002-25</v>
          </cell>
          <cell r="B1058" t="str">
            <v>REAL ESTATE TAX</v>
          </cell>
        </row>
        <row r="1059">
          <cell r="A1059" t="str">
            <v>601003-25</v>
          </cell>
          <cell r="B1059" t="str">
            <v>SBT TAX</v>
          </cell>
        </row>
        <row r="1060">
          <cell r="A1060" t="str">
            <v>601100-03</v>
          </cell>
          <cell r="B1060" t="str">
            <v>BEVERAGE TAX EXPENSE</v>
          </cell>
        </row>
        <row r="1061">
          <cell r="A1061" t="str">
            <v>601100-12</v>
          </cell>
          <cell r="B1061" t="str">
            <v>BEVERAGE TAX EXPENSE</v>
          </cell>
        </row>
        <row r="1062">
          <cell r="A1062" t="str">
            <v>601100-61</v>
          </cell>
          <cell r="B1062" t="str">
            <v>BEVERAGE TAX EXPENSE</v>
          </cell>
        </row>
        <row r="1063">
          <cell r="A1063" t="str">
            <v>601199-12</v>
          </cell>
          <cell r="B1063" t="str">
            <v>SERVIBAR EXPENSES</v>
          </cell>
        </row>
        <row r="1064">
          <cell r="A1064" t="str">
            <v>620001-25</v>
          </cell>
          <cell r="B1064" t="str">
            <v>EXTERNAL INTEREST</v>
          </cell>
        </row>
        <row r="1065">
          <cell r="A1065" t="str">
            <v>620001-34</v>
          </cell>
          <cell r="B1065" t="str">
            <v>INTEREST EXPENSE</v>
          </cell>
        </row>
        <row r="1066">
          <cell r="A1066" t="str">
            <v>620002-25</v>
          </cell>
          <cell r="B1066" t="str">
            <v>INT EXP- 2ND MORTGAGE</v>
          </cell>
        </row>
        <row r="1067">
          <cell r="A1067" t="str">
            <v>620003-25</v>
          </cell>
          <cell r="B1067" t="str">
            <v>INT EXP- CAP. LEASE #1</v>
          </cell>
        </row>
        <row r="1068">
          <cell r="A1068" t="str">
            <v>620004-25</v>
          </cell>
          <cell r="B1068" t="str">
            <v>INT EXP- CAP. LEASE #2</v>
          </cell>
        </row>
        <row r="1069">
          <cell r="A1069" t="str">
            <v>620005-25</v>
          </cell>
          <cell r="B1069" t="str">
            <v>INT EXP- CAP. LEASE #3</v>
          </cell>
        </row>
        <row r="1070">
          <cell r="A1070" t="str">
            <v>620006-25</v>
          </cell>
          <cell r="B1070" t="str">
            <v>INT EXP- CAP. LEASE #4</v>
          </cell>
        </row>
        <row r="1071">
          <cell r="A1071" t="str">
            <v>620007-25</v>
          </cell>
          <cell r="B1071" t="str">
            <v>INT EXP- CAP. LEASE #5</v>
          </cell>
        </row>
        <row r="1072">
          <cell r="A1072" t="str">
            <v>620008-25</v>
          </cell>
          <cell r="B1072" t="str">
            <v>INT EXP- CAP. LEASE #6</v>
          </cell>
        </row>
        <row r="1073">
          <cell r="A1073" t="str">
            <v>620009-25</v>
          </cell>
          <cell r="B1073" t="str">
            <v>INT EXP- CAP. LEASE #7</v>
          </cell>
        </row>
        <row r="1074">
          <cell r="A1074" t="str">
            <v>620010-25</v>
          </cell>
          <cell r="B1074" t="str">
            <v>INT EXP- CAP. LEASE #8</v>
          </cell>
        </row>
        <row r="1075">
          <cell r="A1075" t="str">
            <v>620021-25</v>
          </cell>
          <cell r="B1075" t="str">
            <v>INTEREST EXPENSE-DEFERRED</v>
          </cell>
        </row>
        <row r="1076">
          <cell r="A1076" t="str">
            <v>621001-20</v>
          </cell>
          <cell r="B1076" t="str">
            <v>PROVISION FOR DOUBTFUL ACCOUNTS</v>
          </cell>
        </row>
        <row r="1077">
          <cell r="A1077" t="str">
            <v>621002-20</v>
          </cell>
          <cell r="B1077" t="str">
            <v>COLLECTIONS</v>
          </cell>
        </row>
        <row r="1078">
          <cell r="A1078" t="str">
            <v>621004-20</v>
          </cell>
          <cell r="B1078" t="str">
            <v>PROMPT PAYMENT DISCOUNT</v>
          </cell>
        </row>
        <row r="1079">
          <cell r="A1079" t="str">
            <v>621005-20</v>
          </cell>
          <cell r="B1079" t="str">
            <v>ASSURED MEETING</v>
          </cell>
        </row>
        <row r="1080">
          <cell r="A1080" t="str">
            <v>622001-02</v>
          </cell>
          <cell r="B1080" t="str">
            <v>LICENSES</v>
          </cell>
        </row>
        <row r="1081">
          <cell r="A1081" t="str">
            <v>622001-03</v>
          </cell>
          <cell r="B1081" t="str">
            <v>LICENSES</v>
          </cell>
        </row>
        <row r="1082">
          <cell r="A1082" t="str">
            <v>622001-12</v>
          </cell>
          <cell r="B1082" t="str">
            <v>LICENSES</v>
          </cell>
        </row>
        <row r="1083">
          <cell r="A1083" t="str">
            <v>622001-20</v>
          </cell>
          <cell r="B1083" t="str">
            <v>LICENSES</v>
          </cell>
        </row>
        <row r="1084">
          <cell r="A1084" t="str">
            <v>622001-61</v>
          </cell>
          <cell r="B1084" t="str">
            <v>LICENSES</v>
          </cell>
        </row>
        <row r="1085">
          <cell r="A1085" t="str">
            <v>622001-83</v>
          </cell>
          <cell r="B1085" t="str">
            <v>LICENSES AND PERMITS</v>
          </cell>
        </row>
        <row r="1086">
          <cell r="A1086" t="str">
            <v>635001-02</v>
          </cell>
          <cell r="B1086" t="str">
            <v>OTHER EXPENSES</v>
          </cell>
        </row>
        <row r="1087">
          <cell r="A1087" t="str">
            <v>635001-03</v>
          </cell>
          <cell r="B1087" t="str">
            <v>OTHER EXPENSES</v>
          </cell>
        </row>
        <row r="1088">
          <cell r="A1088" t="str">
            <v>635001-10</v>
          </cell>
          <cell r="B1088" t="str">
            <v>OTHER EXPENSE</v>
          </cell>
        </row>
        <row r="1089">
          <cell r="A1089" t="str">
            <v>635001-12</v>
          </cell>
          <cell r="B1089" t="str">
            <v>OTHER EXPENSE</v>
          </cell>
        </row>
        <row r="1090">
          <cell r="A1090" t="str">
            <v>635001-20</v>
          </cell>
          <cell r="B1090" t="str">
            <v>OTHER EXPENSE</v>
          </cell>
        </row>
        <row r="1091">
          <cell r="A1091" t="str">
            <v>635001-22</v>
          </cell>
          <cell r="B1091" t="str">
            <v>OTHER EXPENSE</v>
          </cell>
        </row>
        <row r="1092">
          <cell r="A1092" t="str">
            <v>635001-24</v>
          </cell>
          <cell r="B1092" t="str">
            <v>OTHER EXPENSE</v>
          </cell>
        </row>
        <row r="1093">
          <cell r="A1093" t="str">
            <v>635001-25</v>
          </cell>
          <cell r="B1093" t="str">
            <v>OTHER EXPENSE</v>
          </cell>
        </row>
        <row r="1094">
          <cell r="A1094" t="str">
            <v>635001-26</v>
          </cell>
          <cell r="B1094" t="str">
            <v>OTHER EXPENSE</v>
          </cell>
        </row>
        <row r="1095">
          <cell r="A1095" t="str">
            <v>635001-30</v>
          </cell>
          <cell r="B1095" t="str">
            <v>OTHER EXPENSES</v>
          </cell>
        </row>
        <row r="1096">
          <cell r="A1096" t="str">
            <v>635001-36</v>
          </cell>
          <cell r="B1096" t="str">
            <v>OTHER EXPENSES</v>
          </cell>
        </row>
        <row r="1097">
          <cell r="A1097" t="str">
            <v>635001-38</v>
          </cell>
          <cell r="B1097" t="str">
            <v>OTHER EXPENSE</v>
          </cell>
        </row>
        <row r="1098">
          <cell r="A1098" t="str">
            <v>635001-41</v>
          </cell>
          <cell r="B1098" t="str">
            <v>OTHER EXPENSE</v>
          </cell>
        </row>
        <row r="1099">
          <cell r="A1099" t="str">
            <v>635001-83</v>
          </cell>
          <cell r="B1099" t="str">
            <v>OTHER EXPENSE</v>
          </cell>
        </row>
        <row r="1100">
          <cell r="A1100" t="str">
            <v>635002-02</v>
          </cell>
          <cell r="B1100" t="str">
            <v>CUSTOMER SATISFACTION EXPENSE</v>
          </cell>
        </row>
        <row r="1101">
          <cell r="A1101" t="str">
            <v>635002-03</v>
          </cell>
          <cell r="B1101" t="str">
            <v>CUSTOMER SATISFACTION EXPENSE</v>
          </cell>
        </row>
        <row r="1102">
          <cell r="A1102" t="str">
            <v>635002-12</v>
          </cell>
          <cell r="B1102" t="str">
            <v>CUSTOMER SATISFACTION EXPENSE</v>
          </cell>
        </row>
        <row r="1103">
          <cell r="A1103" t="str">
            <v>635002-20</v>
          </cell>
          <cell r="B1103" t="str">
            <v>BANK CHARGES</v>
          </cell>
        </row>
        <row r="1104">
          <cell r="A1104" t="str">
            <v>635002-22</v>
          </cell>
          <cell r="B1104" t="str">
            <v>CUSTOMER SATISFACTION EXPENSE</v>
          </cell>
        </row>
        <row r="1105">
          <cell r="A1105" t="str">
            <v>635002-24</v>
          </cell>
          <cell r="B1105" t="str">
            <v>CUSTOMER SATISFACTION EXPENSE</v>
          </cell>
        </row>
        <row r="1106">
          <cell r="A1106" t="str">
            <v>635002-25</v>
          </cell>
          <cell r="B1106" t="str">
            <v>GTD. PAYMENTS</v>
          </cell>
        </row>
        <row r="1107">
          <cell r="A1107" t="str">
            <v>635002-34</v>
          </cell>
          <cell r="B1107" t="str">
            <v>CUSTOMER SATISFACTION EXPENSE</v>
          </cell>
        </row>
        <row r="1108">
          <cell r="A1108" t="str">
            <v>635003-20</v>
          </cell>
          <cell r="B1108" t="str">
            <v>CUSTOMER SATISFACTION EXPENSE</v>
          </cell>
        </row>
        <row r="1109">
          <cell r="A1109" t="str">
            <v>635003-25</v>
          </cell>
          <cell r="B1109" t="str">
            <v>OTHER EXPENSE #3</v>
          </cell>
        </row>
        <row r="1110">
          <cell r="A1110" t="str">
            <v>635004-03</v>
          </cell>
          <cell r="B1110" t="str">
            <v>MISCELLANEOUS</v>
          </cell>
        </row>
        <row r="1111">
          <cell r="A1111" t="str">
            <v>635004-20</v>
          </cell>
          <cell r="B1111" t="str">
            <v>CASH OVER/SHORT</v>
          </cell>
        </row>
        <row r="1112">
          <cell r="A1112" t="str">
            <v>635004-25</v>
          </cell>
          <cell r="B1112" t="str">
            <v>HOTEL SALE CLSG COSTS</v>
          </cell>
        </row>
        <row r="1113">
          <cell r="A1113" t="str">
            <v>635004-41</v>
          </cell>
          <cell r="B1113" t="str">
            <v>CASH OVER AND SHORT</v>
          </cell>
        </row>
        <row r="1114">
          <cell r="A1114" t="str">
            <v>635004-83</v>
          </cell>
          <cell r="B1114" t="str">
            <v>CASH OVER AND SHORT</v>
          </cell>
        </row>
        <row r="1115">
          <cell r="A1115" t="str">
            <v>635005-25</v>
          </cell>
          <cell r="B1115" t="str">
            <v>BOND ADMIN CHARGE</v>
          </cell>
        </row>
        <row r="1116">
          <cell r="A1116" t="str">
            <v>635009-25</v>
          </cell>
          <cell r="B1116" t="str">
            <v>OWNER EXPENSE</v>
          </cell>
        </row>
        <row r="1117">
          <cell r="A1117" t="str">
            <v>635011-25</v>
          </cell>
          <cell r="B1117" t="str">
            <v>BASIC MANAGEMENT FEE</v>
          </cell>
        </row>
        <row r="1118">
          <cell r="A1118" t="str">
            <v>635011-41</v>
          </cell>
          <cell r="B1118" t="str">
            <v>MANAGEMENT FEE</v>
          </cell>
        </row>
        <row r="1119">
          <cell r="A1119" t="str">
            <v>635012-25</v>
          </cell>
          <cell r="B1119" t="str">
            <v>INCENT MANAGEMENT FEE</v>
          </cell>
        </row>
        <row r="1120">
          <cell r="A1120" t="str">
            <v>635013-25</v>
          </cell>
          <cell r="B1120" t="str">
            <v>DEFERRED TAX EXPENSE</v>
          </cell>
        </row>
        <row r="1121">
          <cell r="A1121" t="str">
            <v>635014-25</v>
          </cell>
          <cell r="B1121" t="str">
            <v>MANGEMENT FEE (SECONDARY CO.)</v>
          </cell>
        </row>
        <row r="1122">
          <cell r="A1122" t="str">
            <v>635015-03</v>
          </cell>
          <cell r="B1122" t="str">
            <v>STARBUCK'S FRANCHISE FEE</v>
          </cell>
        </row>
        <row r="1123">
          <cell r="A1123" t="str">
            <v>635015-25</v>
          </cell>
          <cell r="B1123" t="str">
            <v>FRANCHISE FEE</v>
          </cell>
        </row>
        <row r="1124">
          <cell r="A1124" t="str">
            <v>635017-22</v>
          </cell>
          <cell r="B1124" t="str">
            <v>SHOP REBILL</v>
          </cell>
        </row>
        <row r="1125">
          <cell r="A1125" t="str">
            <v>635020-25</v>
          </cell>
          <cell r="B1125" t="str">
            <v>TEMPORARY LABOR</v>
          </cell>
        </row>
        <row r="1126">
          <cell r="A1126" t="str">
            <v>636002-83</v>
          </cell>
          <cell r="B1126" t="str">
            <v>ENERGY EXPENSE</v>
          </cell>
        </row>
        <row r="1127">
          <cell r="A1127" t="str">
            <v>636003-83</v>
          </cell>
          <cell r="B1127" t="str">
            <v>REPAIRS &amp; MAINT EXPENSE</v>
          </cell>
        </row>
        <row r="1128">
          <cell r="A1128" t="str">
            <v>636004-83</v>
          </cell>
          <cell r="B1128" t="str">
            <v>MARKETING EXPENSE</v>
          </cell>
        </row>
        <row r="1129">
          <cell r="A1129" t="str">
            <v>639001-35</v>
          </cell>
          <cell r="B1129" t="str">
            <v>OTHER INCOME</v>
          </cell>
        </row>
        <row r="1130">
          <cell r="A1130" t="str">
            <v>639002-35</v>
          </cell>
          <cell r="B1130" t="str">
            <v>DISCOUNTS EARNED</v>
          </cell>
        </row>
        <row r="1131">
          <cell r="A1131" t="str">
            <v>639003-25</v>
          </cell>
          <cell r="B1131" t="str">
            <v>ROUNDING INC ST CONVERSION</v>
          </cell>
        </row>
        <row r="1132">
          <cell r="A1132" t="str">
            <v>639004-20</v>
          </cell>
          <cell r="B1132" t="str">
            <v>CURRENCY CONVERSION</v>
          </cell>
        </row>
        <row r="1133">
          <cell r="A1133" t="str">
            <v>639004-25</v>
          </cell>
          <cell r="B1133" t="str">
            <v>GAIN/LOSS INC ST. CONVERSION</v>
          </cell>
        </row>
        <row r="1134">
          <cell r="A1134" t="str">
            <v>639005-25</v>
          </cell>
          <cell r="B1134" t="str">
            <v>GAIN/LOSS-FIXED ASSET</v>
          </cell>
        </row>
        <row r="1135">
          <cell r="A1135" t="str">
            <v>639015-25</v>
          </cell>
          <cell r="B1135" t="str">
            <v>OWNERS INTEREST INCOME</v>
          </cell>
        </row>
        <row r="1136">
          <cell r="A1136" t="str">
            <v>639015-35</v>
          </cell>
          <cell r="B1136" t="str">
            <v>INTEREST INCOME</v>
          </cell>
        </row>
        <row r="1137">
          <cell r="A1137" t="str">
            <v>639027-02</v>
          </cell>
          <cell r="B1137" t="str">
            <v>TRADE OUT ROOM CREDITS</v>
          </cell>
        </row>
        <row r="1138">
          <cell r="A1138" t="str">
            <v>639028-02</v>
          </cell>
          <cell r="B1138" t="str">
            <v>100% GUARANTEE CREDITS</v>
          </cell>
        </row>
        <row r="1139">
          <cell r="A1139" t="str">
            <v>639028-03</v>
          </cell>
          <cell r="B1139" t="str">
            <v>100% GUARANTEE CREDITS</v>
          </cell>
        </row>
        <row r="1140">
          <cell r="A1140" t="str">
            <v>639028-12</v>
          </cell>
          <cell r="B1140" t="str">
            <v>100% GUARANTEE CREDITS</v>
          </cell>
        </row>
        <row r="1141">
          <cell r="A1141" t="str">
            <v>639028-34</v>
          </cell>
          <cell r="B1141" t="str">
            <v>100% GUARANTEE CREDITS</v>
          </cell>
        </row>
        <row r="1142">
          <cell r="A1142" t="str">
            <v>640002-34</v>
          </cell>
          <cell r="B1142" t="str">
            <v>REBILL MGMT EXPENSE</v>
          </cell>
        </row>
        <row r="1143">
          <cell r="A1143" t="str">
            <v>640004-22</v>
          </cell>
          <cell r="B1143" t="str">
            <v>REBILL LABOR</v>
          </cell>
        </row>
        <row r="1144">
          <cell r="A1144" t="str">
            <v>640005-02</v>
          </cell>
          <cell r="B1144" t="str">
            <v>MAINTENANCE PP&amp;E</v>
          </cell>
        </row>
        <row r="1145">
          <cell r="A1145" t="str">
            <v>640005-22</v>
          </cell>
          <cell r="B1145" t="str">
            <v>OUTSIDE REBILL REP/MAIN</v>
          </cell>
        </row>
        <row r="1146">
          <cell r="A1146" t="str">
            <v>640005-30</v>
          </cell>
          <cell r="B1146" t="str">
            <v>OUTSIDE REBILL</v>
          </cell>
        </row>
        <row r="1147">
          <cell r="A1147" t="str">
            <v>640020-02</v>
          </cell>
          <cell r="B1147" t="str">
            <v>REBILL INTER-ENTITY ALLOCATIONS</v>
          </cell>
        </row>
        <row r="1148">
          <cell r="A1148" t="str">
            <v>640020-03</v>
          </cell>
          <cell r="B1148" t="str">
            <v>REBILL INTER-ENTITY ALLOCATIONS</v>
          </cell>
        </row>
        <row r="1149">
          <cell r="A1149" t="str">
            <v>640020-10</v>
          </cell>
          <cell r="B1149" t="str">
            <v>REBILL INTER-ENTITY ALLOCATIONS</v>
          </cell>
        </row>
        <row r="1150">
          <cell r="A1150" t="str">
            <v>640020-12</v>
          </cell>
          <cell r="B1150" t="str">
            <v>REBILL INTER-ENTITY ALLOCATIONS</v>
          </cell>
        </row>
        <row r="1151">
          <cell r="A1151" t="str">
            <v>640020-20</v>
          </cell>
          <cell r="B1151" t="str">
            <v>REBILL INTER-ENTITY ALLOCATIONS</v>
          </cell>
        </row>
        <row r="1152">
          <cell r="A1152" t="str">
            <v>640020-22</v>
          </cell>
          <cell r="B1152" t="str">
            <v>REBILL INTER-ENTITY ALLOCATIONS</v>
          </cell>
        </row>
        <row r="1153">
          <cell r="A1153" t="str">
            <v>640020-24</v>
          </cell>
          <cell r="B1153" t="str">
            <v>REBILL INTER-ENTITY ALLOCATIONS</v>
          </cell>
        </row>
        <row r="1154">
          <cell r="A1154" t="str">
            <v>640020-25</v>
          </cell>
          <cell r="B1154" t="str">
            <v>REBILL INTER-ENTITY ALLOCATIONS</v>
          </cell>
        </row>
        <row r="1155">
          <cell r="A1155" t="str">
            <v>640020-26</v>
          </cell>
          <cell r="B1155" t="str">
            <v>REBILL INTER-ENTITY ALLOCATIONS</v>
          </cell>
        </row>
        <row r="1156">
          <cell r="A1156" t="str">
            <v>640020-30</v>
          </cell>
          <cell r="B1156" t="str">
            <v>REBILL INTER-ENTITY ALLOCATIONS</v>
          </cell>
        </row>
        <row r="1157">
          <cell r="A1157" t="str">
            <v>640020-36</v>
          </cell>
          <cell r="B1157" t="str">
            <v>REBILL INTER-ENTITY ALLOCATIONS</v>
          </cell>
        </row>
        <row r="1158">
          <cell r="A1158" t="str">
            <v>640020-38</v>
          </cell>
          <cell r="B1158" t="str">
            <v>REBILL INTER-ENTITY ALLOCATIONS</v>
          </cell>
        </row>
        <row r="1159">
          <cell r="A1159" t="str">
            <v>640020-41</v>
          </cell>
          <cell r="B1159" t="str">
            <v>REBILL INTER-ENTITY ALLOCATIONS</v>
          </cell>
        </row>
        <row r="1160">
          <cell r="A1160" t="str">
            <v>640020-83</v>
          </cell>
          <cell r="B1160" t="str">
            <v>REBILL INTER-ENTITY ALLOCATIONS</v>
          </cell>
        </row>
        <row r="1161">
          <cell r="A1161" t="str">
            <v>640021-21</v>
          </cell>
          <cell r="B1161" t="str">
            <v>REBILL ENERGY</v>
          </cell>
        </row>
        <row r="1162">
          <cell r="A1162" t="str">
            <v>640021-36</v>
          </cell>
          <cell r="B1162" t="str">
            <v>REBILL ENERGY</v>
          </cell>
        </row>
        <row r="1163">
          <cell r="A1163" t="str">
            <v>640022-22</v>
          </cell>
          <cell r="B1163" t="str">
            <v>REBILL P O &amp; M</v>
          </cell>
        </row>
        <row r="1164">
          <cell r="A1164" t="str">
            <v>640022-36</v>
          </cell>
          <cell r="B1164" t="str">
            <v>REBILL P O &amp; M</v>
          </cell>
        </row>
        <row r="1165">
          <cell r="A1165" t="str">
            <v>640044-03</v>
          </cell>
          <cell r="B1165" t="str">
            <v>SUITE- FOOD SALES</v>
          </cell>
        </row>
        <row r="1166">
          <cell r="A1166" t="str">
            <v>640044-12</v>
          </cell>
          <cell r="B1166" t="str">
            <v>SUITE- BEVERAGE SALES</v>
          </cell>
        </row>
        <row r="1167">
          <cell r="A1167" t="str">
            <v>640101-21</v>
          </cell>
          <cell r="B1167" t="str">
            <v>ENERGRY SURCHARGE REBILL ACCOUNT</v>
          </cell>
        </row>
        <row r="1168">
          <cell r="A1168" t="str">
            <v>710001-25</v>
          </cell>
          <cell r="B1168" t="str">
            <v>DEPR- LAND IMPROVEMENTS</v>
          </cell>
        </row>
        <row r="1169">
          <cell r="A1169" t="str">
            <v>710002-25</v>
          </cell>
          <cell r="B1169" t="str">
            <v>BUILDING DEPR</v>
          </cell>
        </row>
        <row r="1170">
          <cell r="A1170" t="str">
            <v>710003-25</v>
          </cell>
          <cell r="B1170" t="str">
            <v>FF&amp;E DEPRECIATION</v>
          </cell>
        </row>
        <row r="1171">
          <cell r="A1171" t="str">
            <v>710003-34</v>
          </cell>
          <cell r="B1171" t="str">
            <v>DEPRECIATION FF&amp;E</v>
          </cell>
        </row>
        <row r="1172">
          <cell r="A1172" t="str">
            <v>710004-25</v>
          </cell>
          <cell r="B1172" t="str">
            <v>DEPRECIATION COMPUTER EQUIPMENT</v>
          </cell>
        </row>
        <row r="1173">
          <cell r="A1173" t="str">
            <v>710005-25</v>
          </cell>
          <cell r="B1173" t="str">
            <v>DEPRECIATION TELEPHONE EQUIPMENT</v>
          </cell>
        </row>
        <row r="1174">
          <cell r="A1174" t="str">
            <v>710049-25</v>
          </cell>
          <cell r="B1174" t="str">
            <v>AMORT ORGANIZATION COSTS</v>
          </cell>
        </row>
        <row r="1175">
          <cell r="A1175" t="str">
            <v>710050-25</v>
          </cell>
          <cell r="B1175" t="str">
            <v>PREOPENING AMORT</v>
          </cell>
        </row>
        <row r="1176">
          <cell r="A1176" t="str">
            <v>710051-25</v>
          </cell>
          <cell r="B1176" t="str">
            <v>AMORT LEASEHOLD IMPROVE</v>
          </cell>
        </row>
        <row r="1177">
          <cell r="A1177" t="str">
            <v>710051-34</v>
          </cell>
          <cell r="B1177" t="str">
            <v>CAPITAL LEASE AMORTIZATION</v>
          </cell>
        </row>
        <row r="1178">
          <cell r="A1178" t="str">
            <v>710052-25</v>
          </cell>
          <cell r="B1178" t="str">
            <v>AMORT CONTRACT ACQUIS</v>
          </cell>
        </row>
        <row r="1179">
          <cell r="A1179" t="str">
            <v>710054-25</v>
          </cell>
          <cell r="B1179" t="str">
            <v>AMORT LEASEHOLD IMPROV</v>
          </cell>
        </row>
        <row r="1180">
          <cell r="A1180" t="str">
            <v>710060-25</v>
          </cell>
          <cell r="B1180" t="str">
            <v>AMORT LOAN COMMITTMENT FEE</v>
          </cell>
        </row>
        <row r="1181">
          <cell r="A1181" t="str">
            <v>740005-02</v>
          </cell>
          <cell r="B1181" t="str">
            <v>REBILL LAUNDRY EXPENSES</v>
          </cell>
        </row>
        <row r="1182">
          <cell r="A1182" t="str">
            <v>740005-03</v>
          </cell>
          <cell r="B1182" t="str">
            <v>REBILL LAUNDRY EXPENSES</v>
          </cell>
        </row>
        <row r="1183">
          <cell r="A1183" t="str">
            <v>740005-27</v>
          </cell>
          <cell r="B1183" t="str">
            <v>LAUNDRY REBILL</v>
          </cell>
        </row>
        <row r="1184">
          <cell r="A1184" t="str">
            <v>740005-36</v>
          </cell>
          <cell r="B1184" t="str">
            <v>REBILL LAUNDRY EXPENSES</v>
          </cell>
        </row>
        <row r="1185">
          <cell r="A1185" t="str">
            <v>740013-02</v>
          </cell>
          <cell r="B1185" t="str">
            <v>REBILL PAYROLL TAXES</v>
          </cell>
        </row>
        <row r="1186">
          <cell r="A1186" t="str">
            <v>740013-03</v>
          </cell>
          <cell r="B1186" t="str">
            <v>REBILL PAYROLL TAXES</v>
          </cell>
        </row>
        <row r="1187">
          <cell r="A1187" t="str">
            <v>740013-12</v>
          </cell>
          <cell r="B1187" t="str">
            <v>REBILL PAYROLL TAXES</v>
          </cell>
        </row>
        <row r="1188">
          <cell r="A1188" t="str">
            <v>740013-20</v>
          </cell>
          <cell r="B1188" t="str">
            <v>REBILL PAYROLL TAXES</v>
          </cell>
        </row>
        <row r="1189">
          <cell r="A1189" t="str">
            <v>740013-22</v>
          </cell>
          <cell r="B1189" t="str">
            <v>REBILL PAYROLL TAXES</v>
          </cell>
        </row>
        <row r="1190">
          <cell r="A1190" t="str">
            <v>740013-24</v>
          </cell>
          <cell r="B1190" t="str">
            <v>REBILL PAYROLL TAXES</v>
          </cell>
        </row>
        <row r="1191">
          <cell r="A1191" t="str">
            <v>740013-26</v>
          </cell>
          <cell r="B1191" t="str">
            <v>REBILL PAYROLL TAXES</v>
          </cell>
        </row>
        <row r="1192">
          <cell r="A1192" t="str">
            <v>740013-27</v>
          </cell>
          <cell r="B1192" t="str">
            <v>REBILL PAYROLL TAXES</v>
          </cell>
        </row>
        <row r="1193">
          <cell r="A1193" t="str">
            <v>740013-30</v>
          </cell>
          <cell r="B1193" t="str">
            <v>REBILL PAYROLL TAXES</v>
          </cell>
        </row>
        <row r="1194">
          <cell r="A1194" t="str">
            <v>740013-34</v>
          </cell>
          <cell r="B1194" t="str">
            <v>REBILL PAYROLL TAXES</v>
          </cell>
        </row>
        <row r="1195">
          <cell r="A1195" t="str">
            <v>740013-36</v>
          </cell>
          <cell r="B1195" t="str">
            <v>REBILL PAYROLL TAXES</v>
          </cell>
        </row>
        <row r="1196">
          <cell r="A1196" t="str">
            <v>740013-38</v>
          </cell>
          <cell r="B1196" t="str">
            <v>REBILL PAYROLL TAXES</v>
          </cell>
        </row>
        <row r="1197">
          <cell r="A1197" t="str">
            <v>740013-41</v>
          </cell>
          <cell r="B1197" t="str">
            <v>REBILL PAYROLL TAXES</v>
          </cell>
        </row>
        <row r="1198">
          <cell r="A1198" t="str">
            <v>740013-61</v>
          </cell>
          <cell r="B1198" t="str">
            <v>REBILL PAYROLL TAXES</v>
          </cell>
        </row>
        <row r="1199">
          <cell r="A1199" t="str">
            <v>740013-83</v>
          </cell>
          <cell r="B1199" t="str">
            <v>REBILL PAYROLL TAXES</v>
          </cell>
        </row>
        <row r="1200">
          <cell r="A1200" t="str">
            <v>740029-03</v>
          </cell>
          <cell r="B1200" t="str">
            <v>REBILL EMPLOYEE CAFETERIA</v>
          </cell>
        </row>
        <row r="1201">
          <cell r="A1201" t="str">
            <v>740064-02</v>
          </cell>
          <cell r="B1201" t="str">
            <v>REBILL WORKERS COMP</v>
          </cell>
        </row>
        <row r="1202">
          <cell r="A1202" t="str">
            <v>740064-03</v>
          </cell>
          <cell r="B1202" t="str">
            <v>REBILL WORKERS COMP</v>
          </cell>
        </row>
        <row r="1203">
          <cell r="A1203" t="str">
            <v>740064-12</v>
          </cell>
          <cell r="B1203" t="str">
            <v>REBILL WORKERS COMP</v>
          </cell>
        </row>
        <row r="1204">
          <cell r="A1204" t="str">
            <v>740064-20</v>
          </cell>
          <cell r="B1204" t="str">
            <v>REBILL WORKERS COMP</v>
          </cell>
        </row>
        <row r="1205">
          <cell r="A1205" t="str">
            <v>740064-22</v>
          </cell>
          <cell r="B1205" t="str">
            <v>REBILL WORKERS COMP</v>
          </cell>
        </row>
        <row r="1206">
          <cell r="A1206" t="str">
            <v>740064-24</v>
          </cell>
          <cell r="B1206" t="str">
            <v>REBILL WORKERS COMP</v>
          </cell>
        </row>
        <row r="1207">
          <cell r="A1207" t="str">
            <v>740064-27</v>
          </cell>
          <cell r="B1207" t="str">
            <v>REBILL WORKERS COMP</v>
          </cell>
        </row>
        <row r="1208">
          <cell r="A1208" t="str">
            <v>740064-28</v>
          </cell>
          <cell r="B1208" t="str">
            <v>REBILL WORKERS COMP</v>
          </cell>
        </row>
        <row r="1209">
          <cell r="A1209" t="str">
            <v>740064-30</v>
          </cell>
          <cell r="B1209" t="str">
            <v>REBILL WORKERS COMP</v>
          </cell>
        </row>
        <row r="1210">
          <cell r="A1210" t="str">
            <v>740064-34</v>
          </cell>
          <cell r="B1210" t="str">
            <v>REBILL WORKERS COMP</v>
          </cell>
        </row>
        <row r="1211">
          <cell r="A1211" t="str">
            <v>740064-36</v>
          </cell>
          <cell r="B1211" t="str">
            <v>REBILL WORKERS COMP</v>
          </cell>
        </row>
        <row r="1212">
          <cell r="A1212" t="str">
            <v>740064-38</v>
          </cell>
          <cell r="B1212" t="str">
            <v>WORKER'S COMP REBILL</v>
          </cell>
        </row>
        <row r="1213">
          <cell r="A1213" t="str">
            <v>740064-41</v>
          </cell>
          <cell r="B1213" t="str">
            <v>REBILL WORKERS COMP</v>
          </cell>
        </row>
        <row r="1214">
          <cell r="A1214" t="str">
            <v>740064-61</v>
          </cell>
          <cell r="B1214" t="str">
            <v>REBILL WORKERS COMP</v>
          </cell>
        </row>
        <row r="1215">
          <cell r="A1215" t="str">
            <v>740064-83</v>
          </cell>
          <cell r="B1215" t="str">
            <v>REBILL WORKERS COMP</v>
          </cell>
        </row>
        <row r="1216">
          <cell r="A1216" t="str">
            <v>800001-02</v>
          </cell>
          <cell r="B1216" t="str">
            <v>TRANSIENT ROOMS</v>
          </cell>
        </row>
        <row r="1217">
          <cell r="A1217" t="str">
            <v>800002-02</v>
          </cell>
          <cell r="B1217" t="str">
            <v>GROUP ROOMS</v>
          </cell>
        </row>
        <row r="1218">
          <cell r="A1218" t="str">
            <v>800002-03</v>
          </cell>
          <cell r="B1218" t="str">
            <v>ADMINISTRATIVE HOURS</v>
          </cell>
        </row>
        <row r="1219">
          <cell r="A1219" t="str">
            <v>800003-02</v>
          </cell>
          <cell r="B1219" t="str">
            <v>CONTRACT ROOMS</v>
          </cell>
        </row>
        <row r="1220">
          <cell r="A1220" t="str">
            <v>800003-03</v>
          </cell>
          <cell r="B1220" t="str">
            <v>PRODUCTION HOURS</v>
          </cell>
        </row>
        <row r="1221">
          <cell r="A1221" t="str">
            <v>800004-02</v>
          </cell>
          <cell r="B1221" t="str">
            <v>COMP/HOUSE USE</v>
          </cell>
        </row>
        <row r="1222">
          <cell r="A1222" t="str">
            <v>800004-03</v>
          </cell>
          <cell r="B1222" t="str">
            <v>SERVICE HOURS</v>
          </cell>
        </row>
        <row r="1223">
          <cell r="A1223" t="str">
            <v>800005-03</v>
          </cell>
          <cell r="B1223" t="str">
            <v>UTILITY HOURS</v>
          </cell>
        </row>
        <row r="1224">
          <cell r="A1224" t="str">
            <v>800006-03</v>
          </cell>
          <cell r="B1224" t="str">
            <v>HOUSEMAN HOURS</v>
          </cell>
        </row>
        <row r="1225">
          <cell r="A1225" t="str">
            <v>800007-03</v>
          </cell>
          <cell r="B1225" t="str">
            <v>CONSOLIDATED FOOD HOURS</v>
          </cell>
        </row>
        <row r="1226">
          <cell r="A1226" t="str">
            <v>800010-03</v>
          </cell>
          <cell r="B1226" t="str">
            <v>RESTAURANT # 1- COVERS</v>
          </cell>
        </row>
        <row r="1227">
          <cell r="A1227" t="str">
            <v>800011-03</v>
          </cell>
          <cell r="B1227" t="str">
            <v>RESTAURANT # 2 - COVERS</v>
          </cell>
        </row>
        <row r="1228">
          <cell r="A1228" t="str">
            <v>800012-03</v>
          </cell>
          <cell r="B1228" t="str">
            <v>RESTAURANT # 3 - COVERS</v>
          </cell>
        </row>
        <row r="1229">
          <cell r="A1229" t="str">
            <v>800013-03</v>
          </cell>
          <cell r="B1229" t="str">
            <v>RESTAURANT # 4 - COVERS</v>
          </cell>
        </row>
        <row r="1230">
          <cell r="A1230" t="str">
            <v>800014-03</v>
          </cell>
          <cell r="B1230" t="str">
            <v>ENTERTAINMENT LOUNGE - COVERS</v>
          </cell>
        </row>
        <row r="1231">
          <cell r="A1231" t="str">
            <v>800015-03</v>
          </cell>
          <cell r="B1231" t="str">
            <v>ROOM SERVICE - COVERS</v>
          </cell>
        </row>
        <row r="1232">
          <cell r="A1232" t="str">
            <v>800016-03</v>
          </cell>
          <cell r="B1232" t="str">
            <v>BANQUET COVERS</v>
          </cell>
        </row>
        <row r="1233">
          <cell r="A1233" t="str">
            <v>800017-03</v>
          </cell>
          <cell r="B1233" t="str">
            <v>OTHER RESTAURANT - COVERS</v>
          </cell>
        </row>
        <row r="1234">
          <cell r="A1234" t="str">
            <v>800018-03</v>
          </cell>
          <cell r="B1234" t="str">
            <v>SERVI BAR - COVERS</v>
          </cell>
        </row>
        <row r="1235">
          <cell r="A1235" t="str">
            <v>800019-03</v>
          </cell>
          <cell r="B1235" t="str">
            <v>OTHER RESTAURANT - COVERS</v>
          </cell>
        </row>
        <row r="1236">
          <cell r="A1236" t="str">
            <v>800020-03</v>
          </cell>
          <cell r="B1236" t="str">
            <v>OTHER RESTAURANT - COVERS</v>
          </cell>
        </row>
        <row r="1237">
          <cell r="A1237" t="str">
            <v>800021-03</v>
          </cell>
          <cell r="B1237" t="str">
            <v>OTHER RESTAURANT - COVERS</v>
          </cell>
        </row>
        <row r="1238">
          <cell r="A1238" t="str">
            <v>800024-03</v>
          </cell>
          <cell r="B1238" t="str">
            <v>LOBBY BAR FOOD 57 COVERS</v>
          </cell>
        </row>
        <row r="1239">
          <cell r="A1239" t="str">
            <v>800100-03</v>
          </cell>
          <cell r="B1239" t="str">
            <v>BREAKFAST</v>
          </cell>
        </row>
        <row r="1240">
          <cell r="A1240" t="str">
            <v>800102-03</v>
          </cell>
          <cell r="B1240" t="str">
            <v>DINNER</v>
          </cell>
        </row>
        <row r="1241">
          <cell r="A1241" t="str">
            <v>800103-03</v>
          </cell>
          <cell r="B1241" t="str">
            <v>OTHER</v>
          </cell>
        </row>
        <row r="1242">
          <cell r="A1242" t="str">
            <v>810002-02</v>
          </cell>
          <cell r="B1242" t="str">
            <v>OCCUPANCY PERCENTAGE</v>
          </cell>
        </row>
        <row r="1243">
          <cell r="A1243" t="str">
            <v>810004-02</v>
          </cell>
          <cell r="B1243" t="str">
            <v>ADR TRANS TRVL/LEIS</v>
          </cell>
        </row>
        <row r="1244">
          <cell r="A1244" t="str">
            <v>810005-02</v>
          </cell>
          <cell r="B1244" t="str">
            <v>ADR TRANS SPEC DISC</v>
          </cell>
        </row>
        <row r="1245">
          <cell r="A1245" t="str">
            <v>810006-02</v>
          </cell>
          <cell r="B1245" t="str">
            <v>ADR TRANS INDV</v>
          </cell>
        </row>
        <row r="1246">
          <cell r="A1246" t="str">
            <v>810008-02</v>
          </cell>
          <cell r="B1246" t="str">
            <v>ADR GROUP CONV</v>
          </cell>
        </row>
        <row r="1247">
          <cell r="A1247" t="str">
            <v>810009-02</v>
          </cell>
          <cell r="B1247" t="str">
            <v>ADR GROUP TRVL/LEIS</v>
          </cell>
        </row>
        <row r="1248">
          <cell r="A1248" t="str">
            <v>810010-02</v>
          </cell>
          <cell r="B1248" t="str">
            <v>ADR CONTRACT REVENUE</v>
          </cell>
        </row>
        <row r="1249">
          <cell r="A1249" t="str">
            <v>820004-02</v>
          </cell>
          <cell r="B1249" t="str">
            <v>FRONT OFFICE PAYROLL</v>
          </cell>
        </row>
        <row r="1250">
          <cell r="A1250" t="str">
            <v>820005-02</v>
          </cell>
          <cell r="B1250" t="str">
            <v>HOUSEKEEPING PAYROLL</v>
          </cell>
        </row>
        <row r="1251">
          <cell r="A1251" t="str">
            <v>820007-02</v>
          </cell>
          <cell r="B1251" t="str">
            <v>FRONT OFFICE AVERAGE WAGE</v>
          </cell>
        </row>
        <row r="1252">
          <cell r="A1252" t="str">
            <v>820008-02</v>
          </cell>
          <cell r="B1252" t="str">
            <v>HOUSEKEEPING AVG WAGE</v>
          </cell>
        </row>
        <row r="1253">
          <cell r="A1253" t="str">
            <v>820010-02</v>
          </cell>
          <cell r="B1253" t="str">
            <v>FRONT OFFICE PAYROLL/ARRIVAL</v>
          </cell>
        </row>
        <row r="1254">
          <cell r="A1254" t="str">
            <v>820011-02</v>
          </cell>
          <cell r="B1254" t="str">
            <v>HSKG PAYROLL/OCC ROOM</v>
          </cell>
        </row>
        <row r="1255">
          <cell r="A1255" t="str">
            <v>890001-12</v>
          </cell>
          <cell r="B1255" t="str">
            <v>BEVERAGE DEPARTMENT HOURS</v>
          </cell>
        </row>
        <row r="1256">
          <cell r="A1256" t="str">
            <v>890002-12</v>
          </cell>
          <cell r="B1256" t="str">
            <v>RESTAURANT #1 BEV HOURS</v>
          </cell>
        </row>
        <row r="1257">
          <cell r="A1257" t="str">
            <v>890003-12</v>
          </cell>
          <cell r="B1257" t="str">
            <v>RESTAURANT #2 BEV HOURS</v>
          </cell>
        </row>
        <row r="1258">
          <cell r="A1258" t="str">
            <v>890004-12</v>
          </cell>
          <cell r="B1258" t="str">
            <v>RESTAURANT #3 BEV HOURS</v>
          </cell>
        </row>
        <row r="1259">
          <cell r="A1259" t="str">
            <v>890005-12</v>
          </cell>
          <cell r="B1259" t="str">
            <v>RESTAURANT #4 BEV HOURS</v>
          </cell>
        </row>
        <row r="1260">
          <cell r="A1260" t="str">
            <v>890006-12</v>
          </cell>
          <cell r="B1260" t="str">
            <v>ENT LOUNGE BEV HOURS</v>
          </cell>
        </row>
        <row r="1261">
          <cell r="A1261" t="str">
            <v>890007-12</v>
          </cell>
          <cell r="B1261" t="str">
            <v>LOBBY BAR BEV HOURS</v>
          </cell>
        </row>
        <row r="1262">
          <cell r="A1262" t="str">
            <v>890008-12</v>
          </cell>
          <cell r="B1262" t="str">
            <v>BANQUET BEV HOURS</v>
          </cell>
        </row>
        <row r="1263">
          <cell r="A1263" t="str">
            <v>890011-12</v>
          </cell>
          <cell r="B1263" t="str">
            <v>OTHER REST BEV HOURS</v>
          </cell>
        </row>
        <row r="1264">
          <cell r="A1264" t="str">
            <v>890015-12</v>
          </cell>
          <cell r="B1264" t="str">
            <v>CONF CTR BEV HOURS</v>
          </cell>
        </row>
        <row r="1265">
          <cell r="A1265" t="str">
            <v>890018-12</v>
          </cell>
          <cell r="B1265" t="str">
            <v>DEPT 61 HOURS</v>
          </cell>
        </row>
        <row r="1266">
          <cell r="A1266" t="str">
            <v>920001-02</v>
          </cell>
          <cell r="B1266" t="str">
            <v>MANAGER MANHOURS</v>
          </cell>
        </row>
        <row r="1267">
          <cell r="A1267" t="str">
            <v>920001-03</v>
          </cell>
          <cell r="B1267" t="str">
            <v>FOOD MANAGER MANHOURS</v>
          </cell>
        </row>
        <row r="1268">
          <cell r="A1268" t="str">
            <v>920001-04</v>
          </cell>
          <cell r="B1268" t="str">
            <v>MANAGER/ASST MANHOURS</v>
          </cell>
        </row>
        <row r="1269">
          <cell r="A1269" t="str">
            <v>920001-09</v>
          </cell>
          <cell r="B1269" t="str">
            <v>MANAGER MANHOURS</v>
          </cell>
        </row>
        <row r="1270">
          <cell r="A1270" t="str">
            <v>920001-10</v>
          </cell>
          <cell r="B1270" t="str">
            <v>MANAGER MANHOURS</v>
          </cell>
        </row>
        <row r="1271">
          <cell r="A1271" t="str">
            <v>920001-12</v>
          </cell>
          <cell r="B1271" t="str">
            <v>MANAGER HOURS</v>
          </cell>
        </row>
        <row r="1272">
          <cell r="A1272" t="str">
            <v>920001-14</v>
          </cell>
          <cell r="B1272" t="str">
            <v>BAR MANAGER HOURS</v>
          </cell>
        </row>
        <row r="1273">
          <cell r="A1273" t="str">
            <v>920001-20</v>
          </cell>
          <cell r="B1273" t="str">
            <v>MANAGER MANHOURS</v>
          </cell>
        </row>
        <row r="1274">
          <cell r="A1274" t="str">
            <v>920001-22</v>
          </cell>
          <cell r="B1274" t="str">
            <v>CHIEF ENGINEER HOURS</v>
          </cell>
        </row>
        <row r="1275">
          <cell r="A1275" t="str">
            <v>920001-24</v>
          </cell>
          <cell r="B1275" t="str">
            <v>MANAGER MANHOURS</v>
          </cell>
        </row>
        <row r="1276">
          <cell r="A1276" t="str">
            <v>920001-27</v>
          </cell>
          <cell r="B1276" t="str">
            <v>MANAGER HOURS</v>
          </cell>
        </row>
        <row r="1277">
          <cell r="A1277" t="str">
            <v>920001-30</v>
          </cell>
          <cell r="B1277" t="str">
            <v>PERSONNEL MANAGER HOURS</v>
          </cell>
        </row>
        <row r="1278">
          <cell r="A1278" t="str">
            <v>920001-34</v>
          </cell>
          <cell r="B1278" t="str">
            <v>MANAGER HOURS</v>
          </cell>
        </row>
        <row r="1279">
          <cell r="A1279" t="str">
            <v>920001-36</v>
          </cell>
          <cell r="B1279" t="str">
            <v>MANAGER HOURS</v>
          </cell>
        </row>
        <row r="1280">
          <cell r="A1280" t="str">
            <v>920001-38</v>
          </cell>
          <cell r="B1280" t="str">
            <v>MANAGER HOURS</v>
          </cell>
        </row>
        <row r="1281">
          <cell r="A1281" t="str">
            <v>920001-41</v>
          </cell>
          <cell r="B1281" t="str">
            <v>MANAGER HOURS</v>
          </cell>
        </row>
        <row r="1282">
          <cell r="A1282" t="str">
            <v>920001-51</v>
          </cell>
          <cell r="B1282" t="str">
            <v>MANAGER HOURS</v>
          </cell>
        </row>
        <row r="1283">
          <cell r="A1283" t="str">
            <v>920001-83</v>
          </cell>
          <cell r="B1283" t="str">
            <v>MANAGER HOURS</v>
          </cell>
        </row>
        <row r="1284">
          <cell r="A1284" t="str">
            <v>920002-02</v>
          </cell>
          <cell r="B1284" t="str">
            <v>G.S.R/SUPV MANHOURS</v>
          </cell>
        </row>
        <row r="1285">
          <cell r="A1285" t="str">
            <v>920002-30</v>
          </cell>
          <cell r="B1285" t="str">
            <v>LCI TRAIN HOURS</v>
          </cell>
        </row>
        <row r="1286">
          <cell r="A1286" t="str">
            <v>920003-02</v>
          </cell>
          <cell r="B1286" t="str">
            <v>RESERVATION MANHOURS</v>
          </cell>
        </row>
        <row r="1287">
          <cell r="A1287" t="str">
            <v>920003-24</v>
          </cell>
          <cell r="B1287" t="str">
            <v>RESERVATION DOLLARS</v>
          </cell>
        </row>
        <row r="1288">
          <cell r="A1288" t="str">
            <v>920004-02</v>
          </cell>
          <cell r="B1288" t="str">
            <v>HSKP SUPV MANHOURS</v>
          </cell>
        </row>
        <row r="1289">
          <cell r="A1289" t="str">
            <v>920005-02</v>
          </cell>
          <cell r="B1289" t="str">
            <v>ROOMS CLEANERS MANHOUR</v>
          </cell>
        </row>
        <row r="1290">
          <cell r="A1290" t="str">
            <v>920005-27</v>
          </cell>
          <cell r="B1290" t="str">
            <v>TAILOR/SEAMSTRESS HRS</v>
          </cell>
        </row>
        <row r="1291">
          <cell r="A1291" t="str">
            <v>920006-02</v>
          </cell>
          <cell r="B1291" t="str">
            <v>HSKP PUBLIC SPACE HOUR</v>
          </cell>
        </row>
        <row r="1292">
          <cell r="A1292" t="str">
            <v>920006-27</v>
          </cell>
          <cell r="B1292" t="str">
            <v>UNIFORM MANHOURS</v>
          </cell>
        </row>
        <row r="1293">
          <cell r="A1293" t="str">
            <v>920007-02</v>
          </cell>
          <cell r="B1293" t="str">
            <v>LINEN RUNNER MANHOURS</v>
          </cell>
        </row>
        <row r="1294">
          <cell r="A1294" t="str">
            <v>920008-27</v>
          </cell>
          <cell r="B1294" t="str">
            <v>LAUNDRY MANHOURS</v>
          </cell>
        </row>
        <row r="1295">
          <cell r="A1295" t="str">
            <v>920009-02</v>
          </cell>
          <cell r="B1295" t="str">
            <v>BELL/DOOR MANHOURS</v>
          </cell>
        </row>
        <row r="1296">
          <cell r="A1296" t="str">
            <v>920010-02</v>
          </cell>
          <cell r="B1296" t="str">
            <v>CONCIERGE MANHOURS</v>
          </cell>
        </row>
        <row r="1297">
          <cell r="A1297" t="str">
            <v>920011-02</v>
          </cell>
          <cell r="B1297" t="str">
            <v>NIGHT HSKP MANHOURS</v>
          </cell>
        </row>
        <row r="1298">
          <cell r="A1298" t="str">
            <v>920012-02</v>
          </cell>
          <cell r="B1298" t="str">
            <v>LIMOUSINE DRIVER HOURS</v>
          </cell>
        </row>
        <row r="1299">
          <cell r="A1299" t="str">
            <v>920013-02</v>
          </cell>
          <cell r="B1299" t="str">
            <v>VALET HOURS</v>
          </cell>
        </row>
        <row r="1300">
          <cell r="A1300" t="str">
            <v>920013-03</v>
          </cell>
          <cell r="B1300" t="str">
            <v>VALET PARK ATTEND HOURS</v>
          </cell>
        </row>
        <row r="1301">
          <cell r="A1301" t="str">
            <v>920013-34</v>
          </cell>
          <cell r="B1301" t="str">
            <v>OPERATOR MANHOURS</v>
          </cell>
        </row>
        <row r="1302">
          <cell r="A1302" t="str">
            <v>920014-41</v>
          </cell>
          <cell r="B1302" t="str">
            <v>CLERK HOURS</v>
          </cell>
        </row>
        <row r="1303">
          <cell r="A1303" t="str">
            <v>920014-83</v>
          </cell>
          <cell r="B1303" t="str">
            <v>CLERK HOURS</v>
          </cell>
        </row>
        <row r="1304">
          <cell r="A1304" t="str">
            <v>920015-02</v>
          </cell>
          <cell r="B1304" t="str">
            <v>HSKP MANAGER MANHOURS</v>
          </cell>
        </row>
        <row r="1305">
          <cell r="A1305" t="str">
            <v>920015-36</v>
          </cell>
          <cell r="B1305" t="str">
            <v>ATTENDANT HOURS</v>
          </cell>
        </row>
        <row r="1306">
          <cell r="A1306" t="str">
            <v>920015-38</v>
          </cell>
          <cell r="B1306" t="str">
            <v>ATTENDANT HOURS</v>
          </cell>
        </row>
        <row r="1307">
          <cell r="A1307" t="str">
            <v>920018-03</v>
          </cell>
          <cell r="B1307" t="str">
            <v>EMP.CAFE. MANHOURS</v>
          </cell>
        </row>
        <row r="1308">
          <cell r="A1308" t="str">
            <v>920019-41</v>
          </cell>
          <cell r="B1308" t="str">
            <v>HOSP CLERK HOURS</v>
          </cell>
        </row>
        <row r="1309">
          <cell r="A1309" t="str">
            <v>920020-03</v>
          </cell>
          <cell r="B1309" t="str">
            <v>STOREROOM MANHOURS</v>
          </cell>
        </row>
        <row r="1310">
          <cell r="A1310" t="str">
            <v>920020-12</v>
          </cell>
          <cell r="B1310" t="str">
            <v>LIQUOR STOREROOM HOURS</v>
          </cell>
        </row>
        <row r="1311">
          <cell r="A1311" t="str">
            <v>920020-20</v>
          </cell>
          <cell r="B1311" t="str">
            <v>PURCHASING MANHOURS</v>
          </cell>
        </row>
        <row r="1312">
          <cell r="A1312" t="str">
            <v>920021-03</v>
          </cell>
          <cell r="B1312" t="str">
            <v>CHEF/ASSTS. MANHOURS</v>
          </cell>
        </row>
        <row r="1313">
          <cell r="A1313" t="str">
            <v>920021-10</v>
          </cell>
          <cell r="B1313" t="str">
            <v>BANQUET CHEF MANHOURS</v>
          </cell>
        </row>
        <row r="1314">
          <cell r="A1314" t="str">
            <v>920022-03</v>
          </cell>
          <cell r="B1314" t="str">
            <v>MAIN KITCHEN COOK HRS.</v>
          </cell>
        </row>
        <row r="1315">
          <cell r="A1315" t="str">
            <v>920023-03</v>
          </cell>
          <cell r="B1315" t="str">
            <v>EXPEDITORS MANHOURS</v>
          </cell>
        </row>
        <row r="1316">
          <cell r="A1316" t="str">
            <v>920023-10</v>
          </cell>
          <cell r="B1316" t="str">
            <v>EXPEDITORS HOURS</v>
          </cell>
        </row>
        <row r="1317">
          <cell r="A1317" t="str">
            <v>920024-03</v>
          </cell>
          <cell r="B1317" t="str">
            <v>KITCHEN UTILITY HOURS</v>
          </cell>
        </row>
        <row r="1318">
          <cell r="A1318" t="str">
            <v>920024-10</v>
          </cell>
          <cell r="B1318" t="str">
            <v>BANQ UTILITY MANHOURS</v>
          </cell>
        </row>
        <row r="1319">
          <cell r="A1319" t="str">
            <v>920025-03</v>
          </cell>
          <cell r="B1319" t="str">
            <v>BAKER MANHOURS</v>
          </cell>
        </row>
        <row r="1320">
          <cell r="A1320" t="str">
            <v>920025-10</v>
          </cell>
          <cell r="B1320" t="str">
            <v>BAKER MANHOURS</v>
          </cell>
        </row>
        <row r="1321">
          <cell r="A1321" t="str">
            <v>920026-03</v>
          </cell>
          <cell r="B1321" t="str">
            <v>PANTRY MANHOURS</v>
          </cell>
        </row>
        <row r="1322">
          <cell r="A1322" t="str">
            <v>920027-10</v>
          </cell>
          <cell r="B1322" t="str">
            <v>BANQUET COOKS MANHOURS</v>
          </cell>
        </row>
        <row r="1323">
          <cell r="A1323" t="str">
            <v>920029-03</v>
          </cell>
          <cell r="B1323" t="str">
            <v>BUTCHER SHOP HOURS</v>
          </cell>
        </row>
        <row r="1324">
          <cell r="A1324" t="str">
            <v>920030-10</v>
          </cell>
          <cell r="B1324" t="str">
            <v>BANQUET PANTRY MANHOURS</v>
          </cell>
        </row>
        <row r="1325">
          <cell r="A1325" t="str">
            <v>920031-03</v>
          </cell>
          <cell r="B1325" t="str">
            <v>EXEC STEWARD MANHOURS</v>
          </cell>
        </row>
        <row r="1326">
          <cell r="A1326" t="str">
            <v>920031-10</v>
          </cell>
          <cell r="B1326" t="str">
            <v>EXEC STEWARD MANHOURS</v>
          </cell>
        </row>
        <row r="1327">
          <cell r="A1327" t="str">
            <v>920032-03</v>
          </cell>
          <cell r="B1327" t="str">
            <v>NIGHT CLEANER MANHOURS</v>
          </cell>
        </row>
        <row r="1328">
          <cell r="A1328" t="str">
            <v>920034-04</v>
          </cell>
          <cell r="B1328" t="str">
            <v>HOST/HOSTESS MANHOURS</v>
          </cell>
        </row>
        <row r="1329">
          <cell r="A1329" t="str">
            <v>920034-09</v>
          </cell>
          <cell r="B1329" t="str">
            <v>CAPTAIN MANHOURS</v>
          </cell>
        </row>
        <row r="1330">
          <cell r="A1330" t="str">
            <v>920034-10</v>
          </cell>
          <cell r="B1330" t="str">
            <v>BANQUET CAPT MANHOURS</v>
          </cell>
        </row>
        <row r="1331">
          <cell r="A1331" t="str">
            <v>920034-51</v>
          </cell>
          <cell r="B1331" t="str">
            <v>SUPERVISOR HOURS</v>
          </cell>
        </row>
        <row r="1332">
          <cell r="A1332" t="str">
            <v>920035-01</v>
          </cell>
          <cell r="B1332" t="str">
            <v>SERVER HOURS</v>
          </cell>
        </row>
        <row r="1333">
          <cell r="A1333" t="str">
            <v>920035-04</v>
          </cell>
          <cell r="B1333" t="str">
            <v>SERVER MANHOURS</v>
          </cell>
        </row>
        <row r="1334">
          <cell r="A1334" t="str">
            <v>920035-09</v>
          </cell>
          <cell r="B1334" t="str">
            <v>SERVER MANHOURS</v>
          </cell>
        </row>
        <row r="1335">
          <cell r="A1335" t="str">
            <v>920035-10</v>
          </cell>
          <cell r="B1335" t="str">
            <v>BANQUET SERVER MANHOUR</v>
          </cell>
        </row>
        <row r="1336">
          <cell r="A1336" t="str">
            <v>920035-51</v>
          </cell>
          <cell r="B1336" t="str">
            <v>SERVER HOURS</v>
          </cell>
        </row>
        <row r="1337">
          <cell r="A1337" t="str">
            <v>920036-14</v>
          </cell>
          <cell r="B1337" t="str">
            <v>WAITER/ESS HOURS</v>
          </cell>
        </row>
        <row r="1338">
          <cell r="A1338" t="str">
            <v>920036-61</v>
          </cell>
          <cell r="B1338" t="str">
            <v>COCKTAIL SERVER HOURS</v>
          </cell>
        </row>
        <row r="1339">
          <cell r="A1339" t="str">
            <v>920037-01</v>
          </cell>
          <cell r="B1339" t="str">
            <v>BUSPERSON HOURS</v>
          </cell>
        </row>
        <row r="1340">
          <cell r="A1340" t="str">
            <v>920037-04</v>
          </cell>
          <cell r="B1340" t="str">
            <v>BUSPERSON MANHOURS</v>
          </cell>
        </row>
        <row r="1341">
          <cell r="A1341" t="str">
            <v>920037-09</v>
          </cell>
          <cell r="B1341" t="str">
            <v>BUSPERSON HOURS</v>
          </cell>
        </row>
        <row r="1342">
          <cell r="A1342" t="str">
            <v>920037-10</v>
          </cell>
          <cell r="B1342" t="str">
            <v>BUSPERSON HOURS</v>
          </cell>
        </row>
        <row r="1343">
          <cell r="A1343" t="str">
            <v>920037-51</v>
          </cell>
          <cell r="B1343" t="str">
            <v>BUSPERSON HOURS</v>
          </cell>
        </row>
        <row r="1344">
          <cell r="A1344" t="str">
            <v>920038-04</v>
          </cell>
          <cell r="B1344" t="str">
            <v>CASHIER MANHOURS</v>
          </cell>
        </row>
        <row r="1345">
          <cell r="A1345" t="str">
            <v>920038-09</v>
          </cell>
          <cell r="B1345" t="str">
            <v>CASHIER/ORDER TAKER HR</v>
          </cell>
        </row>
        <row r="1346">
          <cell r="A1346" t="str">
            <v>920038-10</v>
          </cell>
          <cell r="B1346" t="str">
            <v>CASHIER</v>
          </cell>
        </row>
        <row r="1347">
          <cell r="A1347" t="str">
            <v>920038-13</v>
          </cell>
          <cell r="B1347" t="str">
            <v>CASHIER HOURS</v>
          </cell>
        </row>
        <row r="1348">
          <cell r="A1348" t="str">
            <v>920038-51</v>
          </cell>
          <cell r="B1348" t="str">
            <v>ATTENDENT HOURS</v>
          </cell>
        </row>
        <row r="1349">
          <cell r="A1349" t="str">
            <v>920039-12</v>
          </cell>
          <cell r="B1349" t="str">
            <v>SERVICE BARTENDER HRS</v>
          </cell>
        </row>
        <row r="1350">
          <cell r="A1350" t="str">
            <v>920039-13</v>
          </cell>
          <cell r="B1350" t="str">
            <v>BARTENDER MANHOURS</v>
          </cell>
        </row>
        <row r="1351">
          <cell r="A1351" t="str">
            <v>920039-14</v>
          </cell>
          <cell r="B1351" t="str">
            <v>BARTENDER HOURS</v>
          </cell>
        </row>
        <row r="1352">
          <cell r="A1352" t="str">
            <v>920039-61</v>
          </cell>
          <cell r="B1352" t="str">
            <v>BARTENDER HOURS</v>
          </cell>
        </row>
        <row r="1353">
          <cell r="A1353" t="str">
            <v>920040-14</v>
          </cell>
          <cell r="B1353" t="str">
            <v>BARBACK HOURS</v>
          </cell>
        </row>
        <row r="1354">
          <cell r="A1354" t="str">
            <v>920042-10</v>
          </cell>
          <cell r="B1354" t="str">
            <v>BANQUET HOUSEMEN HOURS</v>
          </cell>
        </row>
        <row r="1355">
          <cell r="A1355" t="str">
            <v>920044-02</v>
          </cell>
          <cell r="B1355" t="str">
            <v>SECRETARY HOURS</v>
          </cell>
        </row>
        <row r="1356">
          <cell r="A1356" t="str">
            <v>920044-03</v>
          </cell>
          <cell r="B1356" t="str">
            <v>SECRETARY MANHOURS</v>
          </cell>
        </row>
        <row r="1357">
          <cell r="A1357" t="str">
            <v>920044-10</v>
          </cell>
          <cell r="B1357" t="str">
            <v>SECRETARIAL HOURS</v>
          </cell>
        </row>
        <row r="1358">
          <cell r="A1358" t="str">
            <v>920044-20</v>
          </cell>
          <cell r="B1358" t="str">
            <v>SECRETARY MANHOURS</v>
          </cell>
        </row>
        <row r="1359">
          <cell r="A1359" t="str">
            <v>920044-22</v>
          </cell>
          <cell r="B1359" t="str">
            <v>SECRETARIAL HOURS</v>
          </cell>
        </row>
        <row r="1360">
          <cell r="A1360" t="str">
            <v>920044-24</v>
          </cell>
          <cell r="B1360" t="str">
            <v>SECRETARY MANHOURS</v>
          </cell>
        </row>
        <row r="1361">
          <cell r="A1361" t="str">
            <v>920044-30</v>
          </cell>
          <cell r="B1361" t="str">
            <v>PERSONNEL SECRETARIAL HR</v>
          </cell>
        </row>
        <row r="1362">
          <cell r="A1362" t="str">
            <v>920046-20</v>
          </cell>
          <cell r="B1362" t="str">
            <v>ACCOUNTING MANHOURS</v>
          </cell>
        </row>
        <row r="1363">
          <cell r="A1363" t="str">
            <v>920047-20</v>
          </cell>
          <cell r="B1363" t="str">
            <v>SECURITY HOURS</v>
          </cell>
        </row>
        <row r="1364">
          <cell r="A1364" t="str">
            <v>920048-22</v>
          </cell>
          <cell r="B1364" t="str">
            <v>ENGINEER MANHOURS</v>
          </cell>
        </row>
        <row r="1365">
          <cell r="A1365" t="str">
            <v>920049-22</v>
          </cell>
          <cell r="B1365" t="str">
            <v>UTILITY MANHOURS</v>
          </cell>
        </row>
        <row r="1366">
          <cell r="A1366" t="str">
            <v>920050-10</v>
          </cell>
          <cell r="B1366" t="str">
            <v>BANQUET SALES MANHOURS</v>
          </cell>
        </row>
        <row r="1367">
          <cell r="A1367" t="str">
            <v>920050-24</v>
          </cell>
          <cell r="B1367" t="str">
            <v>SALES MANHOURS</v>
          </cell>
        </row>
        <row r="1368">
          <cell r="A1368" t="str">
            <v>920055-24</v>
          </cell>
          <cell r="B1368" t="str">
            <v>WEB PROSPECTING MANHOURS</v>
          </cell>
        </row>
        <row r="1369">
          <cell r="A1369" t="str">
            <v>920060-02</v>
          </cell>
          <cell r="B1369" t="str">
            <v>CLEANER REBILL HOURS</v>
          </cell>
        </row>
        <row r="1370">
          <cell r="A1370" t="str">
            <v>920060-03</v>
          </cell>
          <cell r="B1370" t="str">
            <v>CLEANER REBILL HOURS</v>
          </cell>
        </row>
        <row r="1371">
          <cell r="A1371" t="str">
            <v>920060-12</v>
          </cell>
          <cell r="B1371" t="str">
            <v>CLEANER REBILL HOURS</v>
          </cell>
        </row>
        <row r="1372">
          <cell r="A1372" t="str">
            <v>920060-36</v>
          </cell>
          <cell r="B1372" t="str">
            <v>CLEANER REBILL HOURS</v>
          </cell>
        </row>
        <row r="1373">
          <cell r="A1373" t="str">
            <v>920062-02</v>
          </cell>
          <cell r="B1373" t="str">
            <v>CONTRACT LABOR-HOUSEKEEPING</v>
          </cell>
        </row>
        <row r="1374">
          <cell r="A1374" t="str">
            <v>920062-03</v>
          </cell>
          <cell r="B1374" t="str">
            <v>CONTRACT LABOR-UTILITY</v>
          </cell>
        </row>
        <row r="1375">
          <cell r="A1375" t="str">
            <v>920062-20</v>
          </cell>
          <cell r="B1375" t="str">
            <v>CONTRACT LABOR-ADMIN</v>
          </cell>
        </row>
        <row r="1376">
          <cell r="A1376" t="str">
            <v>920063-03</v>
          </cell>
          <cell r="B1376" t="str">
            <v>CONTRACT LABOR-PRODUCTION</v>
          </cell>
        </row>
        <row r="1377">
          <cell r="A1377" t="str">
            <v>920064-03</v>
          </cell>
          <cell r="B1377" t="str">
            <v>CONTRACT LABOR-SERVICE</v>
          </cell>
        </row>
        <row r="1378">
          <cell r="A1378" t="str">
            <v>920070-02</v>
          </cell>
          <cell r="B1378" t="str">
            <v>PLAZA CLUB F&amp;B HOURS</v>
          </cell>
        </row>
        <row r="1379">
          <cell r="A1379" t="str">
            <v>920070-03</v>
          </cell>
          <cell r="B1379" t="str">
            <v>COMP BREAKFAST HOURS</v>
          </cell>
        </row>
        <row r="1380">
          <cell r="A1380" t="str">
            <v>920070-04</v>
          </cell>
          <cell r="B1380" t="str">
            <v>COMP BREAKFAST HOURS</v>
          </cell>
        </row>
        <row r="1381">
          <cell r="A1381" t="str">
            <v>920096-30</v>
          </cell>
          <cell r="B1381" t="str">
            <v>TRAINING HOURS</v>
          </cell>
        </row>
        <row r="1382">
          <cell r="A1382" t="str">
            <v>920099-02</v>
          </cell>
          <cell r="B1382" t="str">
            <v>CONTRA STATISTICS</v>
          </cell>
        </row>
        <row r="1383">
          <cell r="A1383" t="str">
            <v>920099-03</v>
          </cell>
          <cell r="B1383" t="str">
            <v>CONTRA STATISTICS</v>
          </cell>
        </row>
        <row r="1384">
          <cell r="A1384" t="str">
            <v>920099-04</v>
          </cell>
          <cell r="B1384" t="str">
            <v>CONTRA STATISTICS</v>
          </cell>
        </row>
        <row r="1385">
          <cell r="A1385" t="str">
            <v>920099-09</v>
          </cell>
          <cell r="B1385" t="str">
            <v>CONTRA STATISTICS</v>
          </cell>
        </row>
        <row r="1386">
          <cell r="A1386" t="str">
            <v>920099-10</v>
          </cell>
          <cell r="B1386" t="str">
            <v>CONTRA STATISTICS</v>
          </cell>
        </row>
        <row r="1387">
          <cell r="A1387" t="str">
            <v>920099-12</v>
          </cell>
          <cell r="B1387" t="str">
            <v>CONTRA STATISTICS</v>
          </cell>
        </row>
        <row r="1388">
          <cell r="A1388" t="str">
            <v>920099-13</v>
          </cell>
          <cell r="B1388" t="str">
            <v>CONTRA STATISTICS</v>
          </cell>
        </row>
        <row r="1389">
          <cell r="A1389" t="str">
            <v>920099-14</v>
          </cell>
          <cell r="B1389" t="str">
            <v>CONTRA STATISTICS</v>
          </cell>
        </row>
        <row r="1390">
          <cell r="A1390" t="str">
            <v>920099-20</v>
          </cell>
          <cell r="B1390" t="str">
            <v>CONTRA STATISTICS</v>
          </cell>
        </row>
        <row r="1391">
          <cell r="A1391" t="str">
            <v>920099-21</v>
          </cell>
          <cell r="B1391" t="str">
            <v>CONTRA STATISTICS</v>
          </cell>
        </row>
        <row r="1392">
          <cell r="A1392" t="str">
            <v>920099-22</v>
          </cell>
          <cell r="B1392" t="str">
            <v>CONTRA STATISTICS</v>
          </cell>
        </row>
        <row r="1393">
          <cell r="A1393" t="str">
            <v>920099-24</v>
          </cell>
          <cell r="B1393" t="str">
            <v>CONTRA STATISTICS</v>
          </cell>
        </row>
        <row r="1394">
          <cell r="A1394" t="str">
            <v>920099-27</v>
          </cell>
          <cell r="B1394" t="str">
            <v>CONTRA STATISTICS</v>
          </cell>
        </row>
        <row r="1395">
          <cell r="A1395" t="str">
            <v>920099-30</v>
          </cell>
          <cell r="B1395" t="str">
            <v>CONTRA STATISTICS</v>
          </cell>
        </row>
        <row r="1396">
          <cell r="A1396" t="str">
            <v>920099-34</v>
          </cell>
          <cell r="B1396" t="str">
            <v>CONTRA STATISTICS</v>
          </cell>
        </row>
        <row r="1397">
          <cell r="A1397" t="str">
            <v>920099-36</v>
          </cell>
          <cell r="B1397" t="str">
            <v>CONTRA STATISTICS</v>
          </cell>
        </row>
        <row r="1398">
          <cell r="A1398" t="str">
            <v>920099-38</v>
          </cell>
          <cell r="B1398" t="str">
            <v>CHILD CARE ATTENDANT HOURS STAT</v>
          </cell>
        </row>
        <row r="1399">
          <cell r="A1399" t="str">
            <v>920099-41</v>
          </cell>
          <cell r="B1399" t="str">
            <v>CONTRA STATISTICS</v>
          </cell>
        </row>
        <row r="1400">
          <cell r="A1400" t="str">
            <v>920099-51</v>
          </cell>
          <cell r="B1400" t="str">
            <v>CONTRA STATISTICS</v>
          </cell>
        </row>
        <row r="1401">
          <cell r="A1401" t="str">
            <v>920099-61</v>
          </cell>
          <cell r="B1401" t="str">
            <v>CONTRA STATISTICS</v>
          </cell>
        </row>
        <row r="1402">
          <cell r="A1402" t="str">
            <v>920099-83</v>
          </cell>
          <cell r="B1402" t="str">
            <v>CONTRA STATISTICS</v>
          </cell>
        </row>
        <row r="1403">
          <cell r="A1403" t="str">
            <v>950001-21</v>
          </cell>
          <cell r="B1403" t="str">
            <v>ELECTRICITY UNITS</v>
          </cell>
        </row>
        <row r="1404">
          <cell r="A1404" t="str">
            <v>950001-30</v>
          </cell>
          <cell r="B1404" t="str">
            <v>F.T.E. HOURS</v>
          </cell>
        </row>
        <row r="1405">
          <cell r="A1405" t="str">
            <v>950002-21</v>
          </cell>
          <cell r="B1405" t="str">
            <v>GAS UNITS</v>
          </cell>
        </row>
        <row r="1406">
          <cell r="A1406" t="str">
            <v>950003-21</v>
          </cell>
          <cell r="B1406" t="str">
            <v>WATER UNITS</v>
          </cell>
        </row>
        <row r="1407">
          <cell r="A1407" t="str">
            <v>950004-21</v>
          </cell>
          <cell r="B1407" t="str">
            <v>STEAM UNITS</v>
          </cell>
        </row>
        <row r="1408">
          <cell r="A1408" t="str">
            <v>950005-02</v>
          </cell>
          <cell r="B1408" t="str">
            <v>RESERVATIONS TAKEN</v>
          </cell>
        </row>
        <row r="1409">
          <cell r="A1409" t="str">
            <v>950005-21</v>
          </cell>
          <cell r="B1409" t="str">
            <v>FUEL OIL UNITS</v>
          </cell>
        </row>
        <row r="1410">
          <cell r="A1410" t="str">
            <v>950006-02</v>
          </cell>
          <cell r="B1410" t="str">
            <v>ARRIVALS/CHECKINS</v>
          </cell>
        </row>
        <row r="1411">
          <cell r="A1411" t="str">
            <v>950006-21</v>
          </cell>
          <cell r="B1411" t="str">
            <v>GAS INTERRUPTABLE UNIT</v>
          </cell>
        </row>
        <row r="1412">
          <cell r="A1412" t="str">
            <v>950007-21</v>
          </cell>
          <cell r="B1412" t="str">
            <v>CHILLED WATER UNITS</v>
          </cell>
        </row>
        <row r="1413">
          <cell r="A1413" t="str">
            <v>950008-02</v>
          </cell>
          <cell r="B1413" t="str">
            <v>TRANS TRVL/LEIS</v>
          </cell>
        </row>
        <row r="1414">
          <cell r="A1414" t="str">
            <v>950009-02</v>
          </cell>
          <cell r="B1414" t="str">
            <v>TRANS SPEC DISC</v>
          </cell>
        </row>
        <row r="1415">
          <cell r="A1415" t="str">
            <v>950010-02</v>
          </cell>
          <cell r="B1415" t="str">
            <v>TRANS INDIVIDUAL</v>
          </cell>
        </row>
        <row r="1416">
          <cell r="A1416" t="str">
            <v>950011-02</v>
          </cell>
          <cell r="B1416" t="str">
            <v>GROUP CONVENTION</v>
          </cell>
        </row>
        <row r="1417">
          <cell r="A1417" t="str">
            <v>950011-24</v>
          </cell>
          <cell r="B1417" t="str">
            <v>GROUP RM NIGHTS BOOKED</v>
          </cell>
        </row>
        <row r="1418">
          <cell r="A1418" t="str">
            <v>950012-02</v>
          </cell>
          <cell r="B1418" t="str">
            <v>#ROOMS COMP/HOUSE USE</v>
          </cell>
        </row>
        <row r="1419">
          <cell r="A1419" t="str">
            <v>950014-02</v>
          </cell>
          <cell r="B1419" t="str">
            <v>GROUP TRVL/LEISURE</v>
          </cell>
        </row>
        <row r="1420">
          <cell r="A1420" t="str">
            <v>950015-02</v>
          </cell>
          <cell r="B1420" t="str">
            <v>#ROOMS TRADE OUT</v>
          </cell>
        </row>
        <row r="1421">
          <cell r="A1421" t="str">
            <v>950016-02</v>
          </cell>
          <cell r="B1421" t="str">
            <v>#GUESTS</v>
          </cell>
        </row>
        <row r="1422">
          <cell r="A1422" t="str">
            <v>950017-02</v>
          </cell>
          <cell r="B1422" t="str">
            <v>#OCCUPIED ROOMS</v>
          </cell>
        </row>
        <row r="1423">
          <cell r="A1423" t="str">
            <v>950020-02</v>
          </cell>
          <cell r="B1423" t="str">
            <v>#ROOMS AVAILABLE</v>
          </cell>
        </row>
        <row r="1424">
          <cell r="A1424" t="str">
            <v>950030-02</v>
          </cell>
          <cell r="B1424" t="str">
            <v># DAYS IN ACCT PERIOD</v>
          </cell>
        </row>
        <row r="1425">
          <cell r="A1425" t="str">
            <v>950031-02</v>
          </cell>
          <cell r="B1425" t="str">
            <v># OF DAYS IN YEAR</v>
          </cell>
        </row>
        <row r="1426">
          <cell r="A1426" t="str">
            <v>950032-02</v>
          </cell>
          <cell r="B1426" t="str">
            <v>OCCUPIED DAYS</v>
          </cell>
        </row>
        <row r="1427">
          <cell r="A1427" t="str">
            <v>950035-02</v>
          </cell>
          <cell r="B1427" t="str">
            <v>DECLARED TIPS</v>
          </cell>
        </row>
        <row r="1428">
          <cell r="A1428" t="str">
            <v>950035-03</v>
          </cell>
          <cell r="B1428" t="str">
            <v>DECLARED TIPS-CASH</v>
          </cell>
        </row>
        <row r="1429">
          <cell r="A1429" t="str">
            <v>950035-12</v>
          </cell>
          <cell r="B1429" t="str">
            <v>DECLARED TIPS-CASH</v>
          </cell>
        </row>
        <row r="1430">
          <cell r="A1430" t="str">
            <v>950035-36</v>
          </cell>
          <cell r="B1430" t="str">
            <v>TIPS</v>
          </cell>
        </row>
        <row r="1431">
          <cell r="A1431" t="str">
            <v>950035-61</v>
          </cell>
          <cell r="B1431" t="str">
            <v>DECLARED TIPS</v>
          </cell>
        </row>
        <row r="1432">
          <cell r="A1432" t="str">
            <v>950036-03</v>
          </cell>
          <cell r="B1432" t="str">
            <v>SERVICE CHARGE-FOOD</v>
          </cell>
        </row>
        <row r="1433">
          <cell r="A1433" t="str">
            <v>950036-12</v>
          </cell>
          <cell r="B1433" t="str">
            <v>SERVICE CHARGE-BEVERAGE</v>
          </cell>
        </row>
        <row r="1434">
          <cell r="A1434" t="str">
            <v>950036-36</v>
          </cell>
          <cell r="B1434" t="str">
            <v>SERVICE CHARGES</v>
          </cell>
        </row>
        <row r="1435">
          <cell r="A1435" t="str">
            <v>950039-03</v>
          </cell>
          <cell r="B1435" t="str">
            <v>DECLARED TIPS-CREDIT CARDS</v>
          </cell>
        </row>
        <row r="1436">
          <cell r="A1436" t="str">
            <v>950039-12</v>
          </cell>
          <cell r="B1436" t="str">
            <v>DECLARED TIPS-CREDIT CARDS</v>
          </cell>
        </row>
        <row r="1437">
          <cell r="A1437" t="str">
            <v>950050-10</v>
          </cell>
          <cell r="B1437" t="str">
            <v>BREAKFAST COVERS SOCIAL</v>
          </cell>
        </row>
        <row r="1438">
          <cell r="A1438" t="str">
            <v>950051-10</v>
          </cell>
          <cell r="B1438" t="str">
            <v>LUNCH COVERS-SOCIAL</v>
          </cell>
        </row>
        <row r="1439">
          <cell r="A1439" t="str">
            <v>950052-10</v>
          </cell>
          <cell r="B1439" t="str">
            <v>DINNER COVERS-SOCIAL</v>
          </cell>
        </row>
        <row r="1440">
          <cell r="A1440" t="str">
            <v>950053-10</v>
          </cell>
          <cell r="B1440" t="str">
            <v>BREAKFAST COVERS GROUP</v>
          </cell>
        </row>
        <row r="1441">
          <cell r="A1441" t="str">
            <v>950054-10</v>
          </cell>
          <cell r="B1441" t="str">
            <v>LUNCH COVERS-GROUP</v>
          </cell>
        </row>
        <row r="1442">
          <cell r="A1442" t="str">
            <v>950055-10</v>
          </cell>
          <cell r="B1442" t="str">
            <v>DINNER COVERS-GROUP</v>
          </cell>
        </row>
        <row r="1443">
          <cell r="A1443" t="str">
            <v>950056-10</v>
          </cell>
          <cell r="B1443" t="str">
            <v>RECEPTION COVERS-SOCIAL</v>
          </cell>
        </row>
        <row r="1444">
          <cell r="A1444" t="str">
            <v>950057-10</v>
          </cell>
          <cell r="B1444" t="str">
            <v>RECEPTION COVERS-GROUP</v>
          </cell>
        </row>
        <row r="1445">
          <cell r="A1445" t="str">
            <v>950070-04</v>
          </cell>
          <cell r="B1445" t="str">
            <v>BREAKFAST COVERS</v>
          </cell>
        </row>
        <row r="1446">
          <cell r="A1446" t="str">
            <v>950070-51</v>
          </cell>
          <cell r="B1446" t="str">
            <v>BREAKFAST COVERS</v>
          </cell>
        </row>
        <row r="1447">
          <cell r="A1447" t="str">
            <v>950071-04</v>
          </cell>
          <cell r="B1447" t="str">
            <v>LUNCH COVERS</v>
          </cell>
        </row>
        <row r="1448">
          <cell r="A1448" t="str">
            <v>950071-51</v>
          </cell>
          <cell r="B1448" t="str">
            <v>LUNCH COVERS</v>
          </cell>
        </row>
        <row r="1449">
          <cell r="A1449" t="str">
            <v>950072-04</v>
          </cell>
          <cell r="B1449" t="str">
            <v>DINNER COVERS</v>
          </cell>
        </row>
        <row r="1450">
          <cell r="A1450" t="str">
            <v>950072-51</v>
          </cell>
          <cell r="B1450" t="str">
            <v>DINNER COVERS</v>
          </cell>
        </row>
        <row r="1451">
          <cell r="A1451" t="str">
            <v>950073-04</v>
          </cell>
          <cell r="B1451" t="str">
            <v>BRUNCH COVERS</v>
          </cell>
        </row>
        <row r="1452">
          <cell r="A1452" t="str">
            <v>950074-04</v>
          </cell>
          <cell r="B1452" t="str">
            <v>OTHER FOOD COVERS</v>
          </cell>
        </row>
        <row r="1453">
          <cell r="A1453" t="str">
            <v>950074-51</v>
          </cell>
          <cell r="B1453" t="str">
            <v>FOOD COVERS</v>
          </cell>
        </row>
        <row r="1454">
          <cell r="A1454" t="str">
            <v>950076-10</v>
          </cell>
          <cell r="B1454" t="str">
            <v>BREAKFAST COVERS</v>
          </cell>
        </row>
        <row r="1455">
          <cell r="A1455" t="str">
            <v>950077-10</v>
          </cell>
          <cell r="B1455" t="str">
            <v>LUNCH COVERS</v>
          </cell>
        </row>
        <row r="1456">
          <cell r="A1456" t="str">
            <v>950078-10</v>
          </cell>
          <cell r="B1456" t="str">
            <v>DINNER COVERS</v>
          </cell>
        </row>
        <row r="1457">
          <cell r="A1457" t="str">
            <v>950079-10</v>
          </cell>
          <cell r="B1457" t="str">
            <v>RECEPTION COVERS</v>
          </cell>
        </row>
        <row r="1458">
          <cell r="A1458" t="str">
            <v>950082-09</v>
          </cell>
          <cell r="B1458" t="str">
            <v>BREAKFAST COVERS</v>
          </cell>
        </row>
        <row r="1459">
          <cell r="A1459" t="str">
            <v>950083-09</v>
          </cell>
          <cell r="B1459" t="str">
            <v>LUNCH COVERS</v>
          </cell>
        </row>
        <row r="1460">
          <cell r="A1460" t="str">
            <v>950084-09</v>
          </cell>
          <cell r="B1460" t="str">
            <v>DINNER COVERS</v>
          </cell>
        </row>
        <row r="1461">
          <cell r="A1461" t="str">
            <v>950085-09</v>
          </cell>
          <cell r="B1461" t="str">
            <v>OTHER FOOD COVERS</v>
          </cell>
        </row>
        <row r="1462">
          <cell r="A1462" t="str">
            <v>951015-02</v>
          </cell>
          <cell r="B1462" t="str">
            <v>#ROOMS CONTRACT</v>
          </cell>
        </row>
        <row r="1463">
          <cell r="A1463" t="str">
            <v>952020-02</v>
          </cell>
          <cell r="B1463" t="str">
            <v>NET ROOMS AVAILABLE</v>
          </cell>
        </row>
        <row r="1464">
          <cell r="A1464" t="str">
            <v>952021-02</v>
          </cell>
          <cell r="B1464" t="str">
            <v>SOLD ROOMS W/O OWNER</v>
          </cell>
        </row>
        <row r="1465">
          <cell r="A1465" t="str">
            <v>952022-02</v>
          </cell>
          <cell r="B1465" t="str">
            <v>SOLD OCCUPANCY W/O OWNER</v>
          </cell>
        </row>
        <row r="1466">
          <cell r="A1466" t="str">
            <v>952023-02</v>
          </cell>
          <cell r="B1466" t="str">
            <v>SOLD ADR W/O OWNER</v>
          </cell>
        </row>
        <row r="1467">
          <cell r="A1467" t="str">
            <v>960070-04</v>
          </cell>
          <cell r="B1467" t="str">
            <v>OPERATING DAYS-BREAKFAST</v>
          </cell>
        </row>
        <row r="1468">
          <cell r="A1468" t="str">
            <v>960071-04</v>
          </cell>
          <cell r="B1468" t="str">
            <v>OPERATING DAYS-LUNCH</v>
          </cell>
        </row>
        <row r="1469">
          <cell r="A1469" t="str">
            <v>960072-04</v>
          </cell>
          <cell r="B1469" t="str">
            <v>OPERATING DAYS-DINNER</v>
          </cell>
        </row>
        <row r="1470">
          <cell r="A1470" t="str">
            <v>960073-04</v>
          </cell>
          <cell r="B1470" t="str">
            <v>OPERATING DAYS-BRUNCH</v>
          </cell>
        </row>
        <row r="1471">
          <cell r="A1471" t="str">
            <v>960074-04</v>
          </cell>
          <cell r="B1471" t="str">
            <v>OPERATING DAYS-OTHER FOOD</v>
          </cell>
        </row>
        <row r="1472">
          <cell r="A1472" t="str">
            <v>960074-51</v>
          </cell>
          <cell r="B1472" t="str">
            <v>OPERATING DAYS OTHER</v>
          </cell>
        </row>
        <row r="1473">
          <cell r="A1473" t="str">
            <v>960082-09</v>
          </cell>
          <cell r="B1473" t="str">
            <v>OPERATING DAYS BREAKFAST</v>
          </cell>
        </row>
        <row r="1474">
          <cell r="A1474" t="str">
            <v>960083-09</v>
          </cell>
          <cell r="B1474" t="str">
            <v>OPERATING DAYS LUNCH</v>
          </cell>
        </row>
        <row r="1475">
          <cell r="A1475" t="str">
            <v>960084-09</v>
          </cell>
          <cell r="B1475" t="str">
            <v>OPERATING DAYS DINNER</v>
          </cell>
        </row>
        <row r="1476">
          <cell r="A1476" t="str">
            <v>970001-10</v>
          </cell>
          <cell r="B1476" t="str">
            <v>SEATS/SQUARE FEET</v>
          </cell>
        </row>
        <row r="1477">
          <cell r="A1477" t="str">
            <v>975512-01</v>
          </cell>
          <cell r="B1477" t="str">
            <v>ACCTS RECEIVABLE 60-90 DAYS</v>
          </cell>
        </row>
        <row r="1478">
          <cell r="A1478" t="str">
            <v>975513-01</v>
          </cell>
          <cell r="B1478" t="str">
            <v>ACCTS RECEIVABLE 90-119 DAYS</v>
          </cell>
        </row>
        <row r="1479">
          <cell r="A1479" t="str">
            <v>975518-01</v>
          </cell>
          <cell r="B1479" t="str">
            <v>ACCTS RECEIVABLE 30-60 DAYS</v>
          </cell>
        </row>
        <row r="1480">
          <cell r="A1480" t="str">
            <v>975519-01</v>
          </cell>
          <cell r="B1480" t="str">
            <v>ACCTS RECEIVABLE &gt;=120 DAYS</v>
          </cell>
        </row>
        <row r="1481">
          <cell r="A1481" t="str">
            <v>975520-01</v>
          </cell>
          <cell r="B1481" t="str">
            <v>ACCTS RECEIVABLE &lt;30 DAYS</v>
          </cell>
        </row>
        <row r="1482">
          <cell r="A1482" t="str">
            <v>980007-25</v>
          </cell>
          <cell r="B1482" t="str">
            <v>PROPERTY TAXES</v>
          </cell>
        </row>
        <row r="1483">
          <cell r="A1483" t="str">
            <v>980008-25</v>
          </cell>
          <cell r="B1483" t="str">
            <v>OTHER EXPENSE</v>
          </cell>
        </row>
        <row r="1484">
          <cell r="A1484" t="str">
            <v>999100-01</v>
          </cell>
          <cell r="B1484" t="str">
            <v>SALES TAX DAYS OUTSTANDING</v>
          </cell>
        </row>
        <row r="1485">
          <cell r="A1485" t="str">
            <v>999985-04</v>
          </cell>
          <cell r="B1485" t="str">
            <v>FOOD PAYROLL AVG WAGE</v>
          </cell>
        </row>
        <row r="1486">
          <cell r="A1486" t="str">
            <v>999985-09</v>
          </cell>
          <cell r="B1486" t="str">
            <v>FOOD PAYROLL AVG WAGE</v>
          </cell>
        </row>
        <row r="1487">
          <cell r="A1487" t="str">
            <v>999985-10</v>
          </cell>
          <cell r="B1487" t="str">
            <v>FOOD PAYROLL AVG WAGE</v>
          </cell>
        </row>
        <row r="1488">
          <cell r="A1488" t="str">
            <v>999985-51</v>
          </cell>
          <cell r="B1488" t="str">
            <v>FOOD PAYROLL AVG WAGE</v>
          </cell>
        </row>
        <row r="1489">
          <cell r="A1489" t="str">
            <v>999989-12</v>
          </cell>
          <cell r="B1489" t="str">
            <v># OF OPERATING DAYS</v>
          </cell>
        </row>
        <row r="1490">
          <cell r="A1490" t="str">
            <v>999990-27</v>
          </cell>
          <cell r="B1490" t="str">
            <v>LAUNDRY REBILL RATE % (ROOMS)</v>
          </cell>
        </row>
        <row r="1491">
          <cell r="A1491" t="str">
            <v>999991-04</v>
          </cell>
          <cell r="B1491" t="str">
            <v>DINNER AVERAGE CHECK</v>
          </cell>
        </row>
        <row r="1492">
          <cell r="A1492" t="str">
            <v>999991-09</v>
          </cell>
          <cell r="B1492" t="str">
            <v>DINNER AVERAGE CHECK</v>
          </cell>
        </row>
        <row r="1493">
          <cell r="A1493" t="str">
            <v>999991-10</v>
          </cell>
          <cell r="B1493" t="str">
            <v>DINNER AVERAGE CHECK</v>
          </cell>
        </row>
        <row r="1494">
          <cell r="A1494" t="str">
            <v>999991-27</v>
          </cell>
          <cell r="B1494" t="str">
            <v>LAUNDRY REBILL RATE % (FOOD)</v>
          </cell>
        </row>
        <row r="1495">
          <cell r="A1495" t="str">
            <v>999992-04</v>
          </cell>
          <cell r="B1495" t="str">
            <v>BRUNCH AVERAGE CHECK</v>
          </cell>
        </row>
        <row r="1496">
          <cell r="A1496" t="str">
            <v>999992-27</v>
          </cell>
          <cell r="B1496" t="str">
            <v>LAUNDRY REBILL RATE % (HEALTH CLUB)</v>
          </cell>
        </row>
        <row r="1497">
          <cell r="A1497" t="str">
            <v>999994-09</v>
          </cell>
          <cell r="B1497" t="str">
            <v>FOOD AND BEVG AVG CHECK</v>
          </cell>
        </row>
        <row r="1498">
          <cell r="A1498" t="str">
            <v>999994-10</v>
          </cell>
          <cell r="B1498" t="str">
            <v>FOOD AND BEVG AVG CHECK</v>
          </cell>
        </row>
        <row r="1499">
          <cell r="A1499" t="str">
            <v>999994-51</v>
          </cell>
          <cell r="B1499" t="str">
            <v>FOOD AND BEVG AVG CHECK</v>
          </cell>
        </row>
        <row r="1500">
          <cell r="A1500" t="str">
            <v>999995-04</v>
          </cell>
          <cell r="B1500" t="str">
            <v>FOOD &amp; BEV / OCC ROOM</v>
          </cell>
        </row>
        <row r="1501">
          <cell r="A1501" t="str">
            <v>999995-09</v>
          </cell>
          <cell r="B1501" t="str">
            <v>FOOD &amp; BEV / OCC ROOM</v>
          </cell>
        </row>
        <row r="1502">
          <cell r="A1502" t="str">
            <v>999995-10</v>
          </cell>
          <cell r="B1502" t="str">
            <v>FOOD &amp; BEV / OCC ROOM</v>
          </cell>
        </row>
        <row r="1503">
          <cell r="A1503" t="str">
            <v>999995-51</v>
          </cell>
          <cell r="B1503" t="str">
            <v>FOOD &amp; BEV / OCC ROOM</v>
          </cell>
        </row>
        <row r="1504">
          <cell r="A1504" t="str">
            <v>999996-04</v>
          </cell>
          <cell r="B1504" t="str">
            <v>COVERS / OPER DAY -BFAST</v>
          </cell>
        </row>
        <row r="1505">
          <cell r="A1505" t="str">
            <v>999996-09</v>
          </cell>
          <cell r="B1505" t="str">
            <v>COVERS / OPER DAY -BFAST</v>
          </cell>
        </row>
        <row r="1506">
          <cell r="A1506" t="str">
            <v>999997-04</v>
          </cell>
          <cell r="B1506" t="str">
            <v>COVERS / OPER DAY -LUNCH</v>
          </cell>
        </row>
        <row r="1507">
          <cell r="A1507" t="str">
            <v>999997-09</v>
          </cell>
          <cell r="B1507" t="str">
            <v>COVERS / OPER DAY -LUNCH</v>
          </cell>
        </row>
        <row r="1508">
          <cell r="A1508" t="str">
            <v>999997-51</v>
          </cell>
          <cell r="B1508" t="str">
            <v>COVERS / OPER DAY -OTHER</v>
          </cell>
        </row>
        <row r="1509">
          <cell r="A1509" t="str">
            <v>999998-04</v>
          </cell>
          <cell r="B1509" t="str">
            <v>COVERS / OPER DAY -DINNER</v>
          </cell>
        </row>
        <row r="1510">
          <cell r="A1510" t="str">
            <v>999998-09</v>
          </cell>
          <cell r="B1510" t="str">
            <v>COVERS / OPER DAY -DINNER</v>
          </cell>
        </row>
        <row r="1511">
          <cell r="A1511" t="str">
            <v>999999-04</v>
          </cell>
          <cell r="B1511" t="str">
            <v>COVERS / OPER DAY -BRUNCH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come Statement"/>
      <sheetName val="Summary - Budget 2025"/>
      <sheetName val="Comments "/>
      <sheetName val="Payroll Planning"/>
      <sheetName val="Payroll planning 2"/>
      <sheetName val="Holiday info"/>
      <sheetName val="Balance Sheet Dec 2024"/>
      <sheetName val="Capital 2025 Budget.."/>
      <sheetName val="Major 2025 Budget.."/>
      <sheetName val="Flow 2025"/>
      <sheetName val="Capex Detail"/>
      <sheetName val="Capex Detail.."/>
    </sheetNames>
    <sheetDataSet>
      <sheetData sheetId="0">
        <row r="14">
          <cell r="R14">
            <v>3750267.2699999996</v>
          </cell>
        </row>
        <row r="20">
          <cell r="R20">
            <v>1397530.6530453335</v>
          </cell>
        </row>
        <row r="21">
          <cell r="R21">
            <v>1270839.6381187509</v>
          </cell>
        </row>
        <row r="22">
          <cell r="R22">
            <v>573073.04106190254</v>
          </cell>
        </row>
        <row r="23">
          <cell r="R23">
            <v>91716.712800000008</v>
          </cell>
        </row>
        <row r="24">
          <cell r="R24">
            <v>417107.5</v>
          </cell>
        </row>
        <row r="53">
          <cell r="R53">
            <v>2999950.0799999996</v>
          </cell>
        </row>
        <row r="54">
          <cell r="R54">
            <v>80221.440000000002</v>
          </cell>
        </row>
        <row r="55">
          <cell r="R55">
            <v>548666.15</v>
          </cell>
        </row>
        <row r="56">
          <cell r="R56">
            <v>20770</v>
          </cell>
        </row>
        <row r="57">
          <cell r="R57">
            <v>67359.60000000002</v>
          </cell>
        </row>
        <row r="58">
          <cell r="R58">
            <v>18000</v>
          </cell>
        </row>
        <row r="59">
          <cell r="R59">
            <v>420</v>
          </cell>
        </row>
        <row r="60">
          <cell r="R60">
            <v>8400</v>
          </cell>
        </row>
        <row r="61">
          <cell r="R61">
            <v>6480</v>
          </cell>
        </row>
        <row r="70">
          <cell r="R70">
            <v>276535.75933333329</v>
          </cell>
        </row>
        <row r="71">
          <cell r="R71">
            <v>22512</v>
          </cell>
        </row>
        <row r="72">
          <cell r="R72">
            <v>22623.599999999999</v>
          </cell>
        </row>
        <row r="74">
          <cell r="R74">
            <v>31362.277045333329</v>
          </cell>
        </row>
        <row r="80">
          <cell r="R80">
            <v>1860</v>
          </cell>
        </row>
        <row r="81">
          <cell r="R81">
            <v>39540.416666666664</v>
          </cell>
        </row>
        <row r="82">
          <cell r="R82">
            <v>140794</v>
          </cell>
        </row>
        <row r="83">
          <cell r="R83">
            <v>606</v>
          </cell>
        </row>
        <row r="84">
          <cell r="R84">
            <v>15588</v>
          </cell>
        </row>
        <row r="85">
          <cell r="R85">
            <v>51912</v>
          </cell>
        </row>
        <row r="86">
          <cell r="R86">
            <v>777876.60000000009</v>
          </cell>
        </row>
        <row r="87">
          <cell r="R87">
            <v>10716</v>
          </cell>
        </row>
        <row r="88">
          <cell r="R88">
            <v>5604</v>
          </cell>
        </row>
        <row r="156">
          <cell r="R156">
            <v>7452</v>
          </cell>
        </row>
      </sheetData>
      <sheetData sheetId="1"/>
      <sheetData sheetId="2"/>
      <sheetData sheetId="3">
        <row r="24">
          <cell r="D24">
            <v>19145.736133333332</v>
          </cell>
        </row>
      </sheetData>
      <sheetData sheetId="4">
        <row r="10">
          <cell r="D10">
            <v>22186.783666666666</v>
          </cell>
        </row>
      </sheetData>
      <sheetData sheetId="5"/>
      <sheetData sheetId="6"/>
      <sheetData sheetId="7">
        <row r="33">
          <cell r="E33">
            <v>256702.6</v>
          </cell>
        </row>
      </sheetData>
      <sheetData sheetId="8">
        <row r="14">
          <cell r="E14">
            <v>373372</v>
          </cell>
        </row>
      </sheetData>
      <sheetData sheetId="9"/>
      <sheetData sheetId="10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come Statement"/>
      <sheetName val="Comments "/>
      <sheetName val="Capital &amp; Major budget 2024"/>
      <sheetName val="Flow 2024"/>
    </sheetNames>
    <sheetDataSet>
      <sheetData sheetId="0"/>
      <sheetData sheetId="1"/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C 2019"/>
      <sheetName val=" 2021 budget"/>
      <sheetName val="Cable"/>
      <sheetName val="Assumptions"/>
      <sheetName val="Security staff"/>
      <sheetName val="Security Services"/>
      <sheetName val="Insurance"/>
      <sheetName val="Gym"/>
      <sheetName val="Eng and Gds"/>
      <sheetName val="Pool &amp; Beach"/>
      <sheetName val="Work Permits"/>
      <sheetName val="Summary of 2018 work orders"/>
      <sheetName val="BUD 2016"/>
    </sheetNames>
    <sheetDataSet>
      <sheetData sheetId="0">
        <row r="34">
          <cell r="Q34">
            <v>-193608</v>
          </cell>
        </row>
        <row r="35">
          <cell r="Q35">
            <v>-322680</v>
          </cell>
        </row>
        <row r="36">
          <cell r="Q36">
            <v>516288</v>
          </cell>
        </row>
        <row r="51">
          <cell r="Q51">
            <v>0</v>
          </cell>
        </row>
        <row r="57">
          <cell r="Q57">
            <v>0</v>
          </cell>
        </row>
        <row r="70">
          <cell r="Q70">
            <v>0</v>
          </cell>
        </row>
        <row r="77">
          <cell r="Q77">
            <v>1860</v>
          </cell>
        </row>
        <row r="85">
          <cell r="Q85">
            <v>0</v>
          </cell>
        </row>
        <row r="86">
          <cell r="Q86">
            <v>4800</v>
          </cell>
        </row>
        <row r="116">
          <cell r="Q116">
            <v>0</v>
          </cell>
        </row>
        <row r="184">
          <cell r="Q184">
            <v>4500</v>
          </cell>
        </row>
        <row r="188">
          <cell r="Q188">
            <v>8500</v>
          </cell>
        </row>
      </sheetData>
      <sheetData sheetId="1"/>
      <sheetData sheetId="2"/>
      <sheetData sheetId="3">
        <row r="169">
          <cell r="H169">
            <v>0</v>
          </cell>
        </row>
        <row r="192">
          <cell r="H192">
            <v>-193608</v>
          </cell>
        </row>
        <row r="193">
          <cell r="H193">
            <v>-322680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ITAL 2024 BUDGET"/>
      <sheetName val="MAJOR 2024 BUDGET"/>
      <sheetName val="Flow 2024"/>
    </sheetNames>
    <sheetDataSet>
      <sheetData sheetId="0">
        <row r="30">
          <cell r="G30">
            <v>218883.78000000003</v>
          </cell>
        </row>
      </sheetData>
      <sheetData sheetId="1">
        <row r="25">
          <cell r="G25">
            <v>492253.83</v>
          </cell>
        </row>
      </sheetData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ITAL 2025 BUDGET"/>
      <sheetName val="MAJOR 2025 BUDGET"/>
      <sheetName val="Flow 2025"/>
      <sheetName val="Capex Detail"/>
    </sheetNames>
    <sheetDataSet>
      <sheetData sheetId="0" refreshError="1"/>
      <sheetData sheetId="1" refreshError="1"/>
      <sheetData sheetId="2" refreshError="1"/>
      <sheetData sheetId="3" refreshError="1">
        <row r="11">
          <cell r="E11">
            <v>165000</v>
          </cell>
        </row>
        <row r="26">
          <cell r="E26">
            <v>6066.6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ITAL 2025 BUDGET"/>
      <sheetName val="MAJOR 2025 BUDGET"/>
      <sheetName val="Flow 2025"/>
    </sheetNames>
    <sheetDataSet>
      <sheetData sheetId="0">
        <row r="34">
          <cell r="G34">
            <v>53558.8</v>
          </cell>
          <cell r="I34">
            <v>195157.5</v>
          </cell>
        </row>
      </sheetData>
      <sheetData sheetId="1">
        <row r="17">
          <cell r="G17">
            <v>114164.33</v>
          </cell>
          <cell r="I17">
            <v>259207.66999999998</v>
          </cell>
        </row>
      </sheetData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sheetDataSet>
      <sheetData sheetId="0">
        <row r="4">
          <cell r="W4" t="str">
            <v>Jan-08</v>
          </cell>
          <cell r="X4" t="str">
            <v>Feb-08</v>
          </cell>
          <cell r="Y4" t="str">
            <v>Mar-08</v>
          </cell>
          <cell r="Z4" t="str">
            <v>Apr-08</v>
          </cell>
          <cell r="AA4" t="str">
            <v>May-08</v>
          </cell>
          <cell r="AB4" t="str">
            <v>Jun-08</v>
          </cell>
          <cell r="AC4" t="str">
            <v>Jul-08</v>
          </cell>
          <cell r="AD4" t="str">
            <v>Aug-08</v>
          </cell>
          <cell r="AE4" t="str">
            <v>Sep-08</v>
          </cell>
          <cell r="AF4" t="str">
            <v>Oct-08</v>
          </cell>
          <cell r="AG4" t="str">
            <v>Nov-08</v>
          </cell>
          <cell r="AH4" t="str">
            <v>Dec-08</v>
          </cell>
          <cell r="AI4" t="str">
            <v>Jan-09</v>
          </cell>
          <cell r="AJ4" t="str">
            <v>Feb-09</v>
          </cell>
          <cell r="AK4" t="str">
            <v>Mar-09</v>
          </cell>
          <cell r="AL4" t="str">
            <v>Apr-09</v>
          </cell>
          <cell r="AM4" t="str">
            <v>May-09</v>
          </cell>
          <cell r="AN4" t="str">
            <v>Jun-09</v>
          </cell>
          <cell r="AO4" t="str">
            <v>Jul-09</v>
          </cell>
          <cell r="AP4" t="str">
            <v>Aug-09</v>
          </cell>
          <cell r="AQ4" t="str">
            <v>Sep-09</v>
          </cell>
          <cell r="AR4" t="str">
            <v>Oct-09</v>
          </cell>
          <cell r="AS4" t="str">
            <v>Nov-09</v>
          </cell>
          <cell r="AT4" t="str">
            <v>Dec-09</v>
          </cell>
          <cell r="AU4" t="str">
            <v>Jan-10</v>
          </cell>
          <cell r="AV4" t="str">
            <v>Feb-10</v>
          </cell>
          <cell r="AW4" t="str">
            <v>Mar-10</v>
          </cell>
          <cell r="AX4" t="str">
            <v>Apr-10</v>
          </cell>
          <cell r="AY4" t="str">
            <v>May-10</v>
          </cell>
          <cell r="AZ4" t="str">
            <v>Jun-10</v>
          </cell>
          <cell r="BA4" t="str">
            <v>Jul-10</v>
          </cell>
          <cell r="BB4" t="str">
            <v>Aug-10</v>
          </cell>
          <cell r="BC4" t="str">
            <v>Sep-10</v>
          </cell>
          <cell r="BD4" t="str">
            <v>Oct-10</v>
          </cell>
          <cell r="BE4" t="str">
            <v>Nov-10</v>
          </cell>
          <cell r="BF4" t="str">
            <v>Dec-10</v>
          </cell>
          <cell r="BG4" t="str">
            <v>Jan-11</v>
          </cell>
          <cell r="BH4" t="str">
            <v>Feb-11</v>
          </cell>
          <cell r="BI4" t="str">
            <v>Mar-11</v>
          </cell>
          <cell r="BJ4" t="str">
            <v>Apr-11</v>
          </cell>
          <cell r="BK4" t="str">
            <v>May-11</v>
          </cell>
          <cell r="BL4" t="str">
            <v>Jun-11</v>
          </cell>
          <cell r="BM4" t="str">
            <v>Jul-11</v>
          </cell>
          <cell r="BN4" t="str">
            <v>Aug-11</v>
          </cell>
          <cell r="BO4" t="str">
            <v>Sep-11</v>
          </cell>
          <cell r="BP4" t="str">
            <v>Oct-11</v>
          </cell>
          <cell r="BQ4" t="str">
            <v>Nov-11</v>
          </cell>
          <cell r="BR4" t="str">
            <v>Dec-11</v>
          </cell>
          <cell r="BS4" t="str">
            <v>Jan-12</v>
          </cell>
          <cell r="BT4" t="str">
            <v>Feb-12</v>
          </cell>
          <cell r="BU4" t="str">
            <v>Mar-12</v>
          </cell>
          <cell r="BV4" t="str">
            <v>Apr-12</v>
          </cell>
          <cell r="BW4" t="str">
            <v>May-12</v>
          </cell>
          <cell r="BX4" t="str">
            <v>Jun-12</v>
          </cell>
          <cell r="BY4" t="str">
            <v>Jul-12</v>
          </cell>
          <cell r="BZ4" t="str">
            <v>Aug-12</v>
          </cell>
          <cell r="CA4" t="str">
            <v>Sep-12</v>
          </cell>
          <cell r="CB4" t="str">
            <v>Oct-12</v>
          </cell>
          <cell r="CC4" t="str">
            <v>Nov-12</v>
          </cell>
          <cell r="CD4" t="str">
            <v>Dec-12</v>
          </cell>
          <cell r="CE4" t="str">
            <v>Jan-13</v>
          </cell>
          <cell r="CF4" t="str">
            <v>Feb-13</v>
          </cell>
          <cell r="CG4" t="str">
            <v>Mar-13</v>
          </cell>
          <cell r="CH4" t="str">
            <v>Apr-13</v>
          </cell>
          <cell r="CI4" t="str">
            <v>May-13</v>
          </cell>
          <cell r="CJ4" t="str">
            <v>Jun-13</v>
          </cell>
          <cell r="CK4" t="str">
            <v>Jul-13</v>
          </cell>
          <cell r="CL4" t="str">
            <v>Aug-13</v>
          </cell>
          <cell r="CM4" t="str">
            <v>Sep-13</v>
          </cell>
          <cell r="CN4" t="str">
            <v>Oct-13</v>
          </cell>
          <cell r="CO4" t="str">
            <v>Nov-13</v>
          </cell>
          <cell r="CP4" t="str">
            <v>Dec-13</v>
          </cell>
          <cell r="CQ4" t="str">
            <v>Jaqn-14</v>
          </cell>
          <cell r="CR4" t="str">
            <v>Feb-14</v>
          </cell>
          <cell r="CS4" t="str">
            <v>Mar-14</v>
          </cell>
          <cell r="CT4" t="str">
            <v>Apr-14</v>
          </cell>
          <cell r="CU4" t="str">
            <v>May-14</v>
          </cell>
          <cell r="CV4" t="str">
            <v>Jun-14</v>
          </cell>
          <cell r="CW4" t="str">
            <v>Jul-14</v>
          </cell>
          <cell r="CX4" t="str">
            <v>Aug-14</v>
          </cell>
          <cell r="CY4" t="str">
            <v>Sep-14</v>
          </cell>
          <cell r="CZ4" t="str">
            <v>Oct-14</v>
          </cell>
          <cell r="DA4" t="str">
            <v>Nov-14</v>
          </cell>
          <cell r="DB4" t="str">
            <v>Dec-14</v>
          </cell>
          <cell r="DC4" t="str">
            <v>Jan-15</v>
          </cell>
          <cell r="DD4" t="str">
            <v>Feb-15</v>
          </cell>
          <cell r="DE4" t="str">
            <v>Mar-15</v>
          </cell>
          <cell r="DF4" t="str">
            <v>Apr-15</v>
          </cell>
          <cell r="DG4" t="str">
            <v>May-15</v>
          </cell>
          <cell r="DH4" t="str">
            <v>Jun-15</v>
          </cell>
          <cell r="DI4" t="str">
            <v>Jul-15</v>
          </cell>
          <cell r="DJ4" t="str">
            <v>Aug-15</v>
          </cell>
          <cell r="DK4" t="str">
            <v>Sep-15</v>
          </cell>
          <cell r="DL4" t="str">
            <v>Oct-15</v>
          </cell>
          <cell r="DM4" t="str">
            <v>Nov-15</v>
          </cell>
          <cell r="DN4" t="str">
            <v>Dec-15</v>
          </cell>
          <cell r="DO4" t="str">
            <v>Jan-16</v>
          </cell>
          <cell r="DP4" t="str">
            <v>Feb-16</v>
          </cell>
          <cell r="DQ4" t="str">
            <v>Mar-16</v>
          </cell>
          <cell r="DR4" t="str">
            <v>Apr-16</v>
          </cell>
          <cell r="DS4" t="str">
            <v>May-16</v>
          </cell>
          <cell r="DT4" t="str">
            <v>Jun-16</v>
          </cell>
          <cell r="DU4" t="str">
            <v>Jul-16</v>
          </cell>
          <cell r="DV4" t="str">
            <v>Aug-16</v>
          </cell>
          <cell r="DW4" t="str">
            <v>Sep-16</v>
          </cell>
          <cell r="DX4" t="str">
            <v>Oct-16</v>
          </cell>
          <cell r="DY4" t="str">
            <v>Nov-16</v>
          </cell>
          <cell r="DZ4" t="str">
            <v>Dec-16</v>
          </cell>
          <cell r="EA4">
            <v>42736</v>
          </cell>
          <cell r="EB4">
            <v>42767</v>
          </cell>
          <cell r="EC4">
            <v>42795</v>
          </cell>
          <cell r="ED4">
            <v>42826</v>
          </cell>
          <cell r="EE4">
            <v>42856</v>
          </cell>
          <cell r="EF4">
            <v>42887</v>
          </cell>
          <cell r="EG4">
            <v>42917</v>
          </cell>
          <cell r="EH4">
            <v>42948</v>
          </cell>
          <cell r="EI4">
            <v>42979</v>
          </cell>
          <cell r="EJ4">
            <v>43009</v>
          </cell>
          <cell r="EK4">
            <v>43040</v>
          </cell>
          <cell r="EL4">
            <v>43070</v>
          </cell>
          <cell r="EM4">
            <v>43101</v>
          </cell>
          <cell r="EN4">
            <v>43132</v>
          </cell>
          <cell r="EO4">
            <v>43160</v>
          </cell>
          <cell r="EP4">
            <v>43191</v>
          </cell>
          <cell r="EQ4">
            <v>43221</v>
          </cell>
          <cell r="ER4">
            <v>43252</v>
          </cell>
          <cell r="ES4">
            <v>43282</v>
          </cell>
          <cell r="ET4">
            <v>43313</v>
          </cell>
          <cell r="EU4">
            <v>43344</v>
          </cell>
          <cell r="EV4">
            <v>43374</v>
          </cell>
          <cell r="EW4">
            <v>43405</v>
          </cell>
          <cell r="EX4">
            <v>43435</v>
          </cell>
          <cell r="EY4">
            <v>43466</v>
          </cell>
          <cell r="EZ4">
            <v>43497</v>
          </cell>
          <cell r="FA4">
            <v>43525</v>
          </cell>
          <cell r="FB4">
            <v>43556</v>
          </cell>
          <cell r="FC4">
            <v>43586</v>
          </cell>
          <cell r="FD4">
            <v>43617</v>
          </cell>
          <cell r="FE4">
            <v>43647</v>
          </cell>
          <cell r="FF4">
            <v>43678</v>
          </cell>
          <cell r="FG4">
            <v>43709</v>
          </cell>
          <cell r="FH4">
            <v>43739</v>
          </cell>
          <cell r="FI4">
            <v>43770</v>
          </cell>
          <cell r="FJ4">
            <v>43800</v>
          </cell>
        </row>
        <row r="5">
          <cell r="W5">
            <v>0.1346</v>
          </cell>
          <cell r="X5">
            <v>0.17730000000000001</v>
          </cell>
          <cell r="Y5">
            <v>0.18229999999999999</v>
          </cell>
          <cell r="Z5">
            <v>0.18160000000000001</v>
          </cell>
          <cell r="AA5">
            <v>0.18709999999999999</v>
          </cell>
          <cell r="AB5">
            <v>0.2414</v>
          </cell>
          <cell r="AC5">
            <v>0.24940000000000001</v>
          </cell>
          <cell r="AD5">
            <v>0.28460000000000002</v>
          </cell>
          <cell r="AE5">
            <v>0.28062999999999999</v>
          </cell>
          <cell r="AF5">
            <v>0.29099999999999998</v>
          </cell>
          <cell r="AG5">
            <v>0.26779999999999998</v>
          </cell>
          <cell r="AH5">
            <v>0.23519999999999999</v>
          </cell>
          <cell r="AI5">
            <v>0.23519999999999999</v>
          </cell>
          <cell r="AJ5">
            <v>0.1608</v>
          </cell>
          <cell r="AK5">
            <v>0.1138</v>
          </cell>
          <cell r="AL5">
            <v>9.0120000000000006E-2</v>
          </cell>
          <cell r="AM5">
            <v>8.9099999999999999E-2</v>
          </cell>
          <cell r="AN5">
            <v>8.6599999999999996E-2</v>
          </cell>
          <cell r="AO5">
            <v>8.8156999999999999E-2</v>
          </cell>
          <cell r="AP5">
            <v>8.8156999999999999E-2</v>
          </cell>
          <cell r="AQ5">
            <v>0.12819900000000001</v>
          </cell>
          <cell r="AR5">
            <v>0.14682300000000001</v>
          </cell>
          <cell r="AS5">
            <v>0.13339200000000001</v>
          </cell>
          <cell r="AT5">
            <v>0.13339200000000001</v>
          </cell>
          <cell r="AU5">
            <v>0.151146</v>
          </cell>
          <cell r="AV5">
            <v>0.14732500000000001</v>
          </cell>
          <cell r="AW5">
            <v>0.14923600000000001</v>
          </cell>
          <cell r="AX5">
            <v>0.14553199999999999</v>
          </cell>
          <cell r="AY5">
            <v>0.14790600000000001</v>
          </cell>
          <cell r="AZ5">
            <v>0.15458</v>
          </cell>
          <cell r="BA5">
            <v>0.15668000000000001</v>
          </cell>
          <cell r="BB5">
            <v>0.14949999999999999</v>
          </cell>
          <cell r="BC5">
            <v>0.14549999999999999</v>
          </cell>
          <cell r="BD5">
            <v>0.14549999999999999</v>
          </cell>
          <cell r="BE5">
            <v>0.14835300000000001</v>
          </cell>
          <cell r="BF5">
            <v>0.16592000000000001</v>
          </cell>
          <cell r="BG5">
            <v>0.17061000000000001</v>
          </cell>
          <cell r="BH5">
            <v>0.17788999999999999</v>
          </cell>
          <cell r="BI5">
            <v>0.1913</v>
          </cell>
          <cell r="BJ5">
            <v>0.20300000000000001</v>
          </cell>
          <cell r="BK5">
            <v>0.22600000000000001</v>
          </cell>
          <cell r="BL5">
            <v>0.24249999999999999</v>
          </cell>
          <cell r="BM5">
            <v>0.2366</v>
          </cell>
          <cell r="BN5">
            <v>0.24510000000000001</v>
          </cell>
          <cell r="BO5">
            <v>0.24099999999999999</v>
          </cell>
          <cell r="BP5">
            <v>0.22650000000000001</v>
          </cell>
          <cell r="BQ5">
            <v>0.23119999999999999</v>
          </cell>
          <cell r="BR5">
            <v>0.23219999999999999</v>
          </cell>
          <cell r="BS5">
            <v>0.24540000000000001</v>
          </cell>
          <cell r="BT5">
            <v>0.24349999999999999</v>
          </cell>
          <cell r="BU5">
            <v>0.24540000000000001</v>
          </cell>
          <cell r="BV5">
            <v>0.25309999999999999</v>
          </cell>
          <cell r="BW5">
            <v>0.25900000000000001</v>
          </cell>
          <cell r="BX5">
            <v>0.26129999999999998</v>
          </cell>
          <cell r="BY5">
            <v>0.25619999999999998</v>
          </cell>
          <cell r="BZ5">
            <v>0.23530000000000001</v>
          </cell>
          <cell r="CA5">
            <v>0.21160000000000001</v>
          </cell>
          <cell r="CB5">
            <v>0.2296</v>
          </cell>
          <cell r="CC5">
            <v>0.2447</v>
          </cell>
          <cell r="CD5">
            <v>0.25230000000000002</v>
          </cell>
          <cell r="CE5">
            <v>0.25259999999999999</v>
          </cell>
          <cell r="CF5">
            <v>0.25119999999999998</v>
          </cell>
          <cell r="CG5">
            <v>0.24909999999999999</v>
          </cell>
          <cell r="CH5">
            <v>0.26200000000000001</v>
          </cell>
          <cell r="CI5">
            <v>0.2485</v>
          </cell>
          <cell r="CJ5">
            <v>0.2351</v>
          </cell>
          <cell r="CK5">
            <v>0.22800000000000001</v>
          </cell>
          <cell r="CL5">
            <v>0.21729999999999999</v>
          </cell>
          <cell r="CM5">
            <v>0.2276</v>
          </cell>
          <cell r="CN5">
            <v>0.22989999999999999</v>
          </cell>
          <cell r="CO5">
            <v>0.23519999999999999</v>
          </cell>
          <cell r="CP5">
            <v>0.24160000000000001</v>
          </cell>
          <cell r="CQ5">
            <v>0.23100000000000001</v>
          </cell>
          <cell r="CR5">
            <v>0.24010000000000001</v>
          </cell>
          <cell r="CS5">
            <v>0.2402</v>
          </cell>
          <cell r="CT5">
            <v>0.23719999999999999</v>
          </cell>
          <cell r="CU5">
            <v>0.24160000000000001</v>
          </cell>
          <cell r="CV5">
            <v>0.23830000000000001</v>
          </cell>
          <cell r="CW5">
            <v>0.2384</v>
          </cell>
          <cell r="CX5">
            <v>0.24010000000000001</v>
          </cell>
          <cell r="CY5">
            <v>0.2447</v>
          </cell>
          <cell r="CZ5">
            <v>0.2366</v>
          </cell>
          <cell r="DA5">
            <v>0.23050000000000001</v>
          </cell>
          <cell r="DB5">
            <v>0.2203</v>
          </cell>
          <cell r="DC5">
            <v>0.20910000000000001</v>
          </cell>
          <cell r="DD5">
            <v>0.19800000000000001</v>
          </cell>
          <cell r="DE5">
            <v>0.15659999999999999</v>
          </cell>
          <cell r="DF5">
            <v>0.1396</v>
          </cell>
          <cell r="DG5">
            <v>0.1298</v>
          </cell>
          <cell r="DH5">
            <v>0.1321</v>
          </cell>
          <cell r="DI5">
            <v>0.1389</v>
          </cell>
          <cell r="DJ5">
            <v>0.14960000000000001</v>
          </cell>
          <cell r="DK5">
            <v>0.14119999999999999</v>
          </cell>
          <cell r="DL5">
            <v>0.13639999999999999</v>
          </cell>
          <cell r="DM5">
            <v>0.13109999999999999</v>
          </cell>
          <cell r="DN5">
            <v>0.11600000000000001</v>
          </cell>
          <cell r="DO5">
            <v>9.9900000000000003E-2</v>
          </cell>
          <cell r="DP5">
            <v>9.3899999999999997E-2</v>
          </cell>
          <cell r="DQ5">
            <v>8.9700000000000002E-2</v>
          </cell>
          <cell r="DR5">
            <v>7.8799999999999995E-2</v>
          </cell>
          <cell r="DS5">
            <v>6.6100000000000006E-2</v>
          </cell>
          <cell r="DT5">
            <v>6.4699999999999994E-2</v>
          </cell>
          <cell r="DU5">
            <v>7.8399999999999997E-2</v>
          </cell>
          <cell r="DV5">
            <v>8.9499999999999996E-2</v>
          </cell>
          <cell r="DW5">
            <v>9.7299999999999998E-2</v>
          </cell>
          <cell r="DX5">
            <v>8.7599999999999997E-2</v>
          </cell>
          <cell r="DY5">
            <v>8.5699999999999998E-2</v>
          </cell>
          <cell r="DZ5">
            <v>9.1300000000000006E-2</v>
          </cell>
          <cell r="EA5">
            <v>9.4399999999999998E-2</v>
          </cell>
          <cell r="EB5">
            <v>0.10680000000000001</v>
          </cell>
          <cell r="EC5">
            <v>0.1004</v>
          </cell>
          <cell r="ED5">
            <v>0.1079</v>
          </cell>
          <cell r="EE5">
            <v>0.1168</v>
          </cell>
          <cell r="EF5">
            <v>0.12540000000000001</v>
          </cell>
          <cell r="EG5">
            <v>0.1129</v>
          </cell>
          <cell r="EH5">
            <v>0.10059999999999999</v>
          </cell>
          <cell r="EI5">
            <v>9.4299999999999995E-2</v>
          </cell>
          <cell r="EJ5">
            <v>0.1052</v>
          </cell>
          <cell r="EK5">
            <v>0.10680000000000001</v>
          </cell>
          <cell r="EL5">
            <v>0.11360000000000001</v>
          </cell>
          <cell r="EM5">
            <v>0.1148</v>
          </cell>
          <cell r="EN5">
            <v>0.1275</v>
          </cell>
          <cell r="EO5">
            <v>0.13980000000000001</v>
          </cell>
          <cell r="EP5">
            <v>0.14119999999999999</v>
          </cell>
          <cell r="EQ5">
            <v>0.14330000000000001</v>
          </cell>
          <cell r="ER5">
            <v>0.15110000000000001</v>
          </cell>
          <cell r="ES5">
            <v>0.1633</v>
          </cell>
          <cell r="ET5">
            <v>0.16550000000000001</v>
          </cell>
          <cell r="EU5">
            <v>0.1613</v>
          </cell>
          <cell r="EV5">
            <v>0.15809999999999999</v>
          </cell>
          <cell r="EW5">
            <v>0.16039999999999999</v>
          </cell>
          <cell r="EX5">
            <v>0.16869999999999999</v>
          </cell>
          <cell r="EY5">
            <v>0.17699999999999999</v>
          </cell>
          <cell r="EZ5">
            <v>0.16520000000000001</v>
          </cell>
          <cell r="FA5">
            <v>0.1515</v>
          </cell>
          <cell r="FB5">
            <v>0.13300000000000001</v>
          </cell>
          <cell r="FC5">
            <v>0.1366</v>
          </cell>
          <cell r="FD5">
            <v>0.1467</v>
          </cell>
          <cell r="FE5">
            <v>0.15060000000000001</v>
          </cell>
          <cell r="FF5">
            <v>0.14929999999999999</v>
          </cell>
          <cell r="FG5">
            <v>0.14760000000000001</v>
          </cell>
          <cell r="FH5">
            <v>0.13830000000000001</v>
          </cell>
          <cell r="FI5">
            <v>0.12870000000000001</v>
          </cell>
          <cell r="FJ5">
            <v>0.13669999999999999</v>
          </cell>
        </row>
      </sheetData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ITAL 2025 BUDGET"/>
      <sheetName val="MAJOR 2025 BUDGET"/>
      <sheetName val="Flow 2025"/>
      <sheetName val="Capex Detail"/>
    </sheetNames>
    <sheetDataSet>
      <sheetData sheetId="0" refreshError="1"/>
      <sheetData sheetId="1" refreshError="1"/>
      <sheetData sheetId="2" refreshError="1"/>
      <sheetData sheetId="3" refreshError="1">
        <row r="11">
          <cell r="E11">
            <v>165000</v>
          </cell>
        </row>
        <row r="26">
          <cell r="E26">
            <v>6066.6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Sands Hotel" id="{6BA25AC3-CFDE-4BD5-BEA5-B80011A34882}" userId="S::sandsoffice@thesandstc.onmicrosoft.com::af0039eb-f47d-43f9-9b8a-6ceb50752775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9" dT="2021-04-05T16:34:29.92" personId="{6BA25AC3-CFDE-4BD5-BEA5-B80011A34882}" id="{721AD601-463F-4931-8F76-2EC80D4BA0C6}">
    <text>No assessments in the first quarter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2CF64-8BEF-4830-9FC0-1A790ADC8BB1}">
  <sheetPr>
    <tabColor rgb="FFFF0000"/>
  </sheetPr>
  <dimension ref="A1:R173"/>
  <sheetViews>
    <sheetView zoomScale="129" zoomScaleNormal="129" workbookViewId="0">
      <selection activeCell="E16" sqref="E16"/>
    </sheetView>
  </sheetViews>
  <sheetFormatPr defaultRowHeight="14.4" x14ac:dyDescent="0.3"/>
  <cols>
    <col min="1" max="1" width="3.44140625" customWidth="1"/>
    <col min="2" max="2" width="28.109375" customWidth="1"/>
    <col min="3" max="3" width="3.6640625" customWidth="1"/>
    <col min="4" max="8" width="14.6640625" customWidth="1"/>
    <col min="9" max="9" width="3.6640625" style="234" customWidth="1"/>
    <col min="10" max="10" width="11.109375" customWidth="1"/>
    <col min="11" max="11" width="8.88671875" style="298" customWidth="1"/>
    <col min="12" max="12" width="2.33203125" style="234" customWidth="1"/>
    <col min="13" max="13" width="15.33203125" customWidth="1"/>
    <col min="14" max="14" width="8.88671875" style="298"/>
    <col min="15" max="18" width="8.88671875" style="234"/>
  </cols>
  <sheetData>
    <row r="1" spans="1:14" x14ac:dyDescent="0.3">
      <c r="A1" s="1"/>
      <c r="B1" s="2" t="s">
        <v>139</v>
      </c>
      <c r="C1" s="3"/>
      <c r="D1" s="3"/>
      <c r="E1" s="3"/>
      <c r="F1" s="3"/>
      <c r="G1" s="3"/>
      <c r="H1" s="3"/>
      <c r="J1" s="234"/>
      <c r="K1" s="289"/>
      <c r="M1" s="234"/>
      <c r="N1" s="289"/>
    </row>
    <row r="2" spans="1:14" ht="15" thickBot="1" x14ac:dyDescent="0.35">
      <c r="A2" s="7"/>
      <c r="B2" s="7"/>
      <c r="C2" s="8"/>
      <c r="D2" s="8"/>
      <c r="E2" s="8"/>
      <c r="F2" s="8"/>
      <c r="G2" s="8"/>
      <c r="H2" s="8"/>
      <c r="J2" s="234"/>
      <c r="K2" s="289"/>
      <c r="M2" s="234"/>
      <c r="N2" s="289"/>
    </row>
    <row r="3" spans="1:14" ht="15" thickBot="1" x14ac:dyDescent="0.35">
      <c r="A3" s="7"/>
      <c r="B3" s="207" t="s">
        <v>0</v>
      </c>
      <c r="C3" s="8"/>
      <c r="D3" s="191" t="s">
        <v>140</v>
      </c>
      <c r="E3" s="192" t="s">
        <v>144</v>
      </c>
      <c r="F3" s="192" t="s">
        <v>1</v>
      </c>
      <c r="G3" s="193" t="s">
        <v>2</v>
      </c>
      <c r="H3" s="193" t="s">
        <v>109</v>
      </c>
      <c r="J3" s="235" t="s">
        <v>145</v>
      </c>
      <c r="K3" s="290" t="s">
        <v>142</v>
      </c>
      <c r="M3" s="235" t="s">
        <v>146</v>
      </c>
      <c r="N3" s="290" t="s">
        <v>142</v>
      </c>
    </row>
    <row r="4" spans="1:14" ht="15" thickBot="1" x14ac:dyDescent="0.35">
      <c r="A4" s="1"/>
      <c r="B4" s="1"/>
      <c r="C4" s="3"/>
      <c r="D4" s="5"/>
      <c r="E4" s="5"/>
      <c r="F4" s="5"/>
      <c r="G4" s="5"/>
      <c r="H4" s="5"/>
      <c r="J4" s="6"/>
      <c r="K4" s="291"/>
      <c r="M4" s="6"/>
      <c r="N4" s="291"/>
    </row>
    <row r="5" spans="1:14" x14ac:dyDescent="0.3">
      <c r="A5" s="1"/>
      <c r="B5" s="202" t="s">
        <v>15</v>
      </c>
      <c r="C5" s="3"/>
      <c r="D5" s="249">
        <f>+'NOT TO USE.'!D5</f>
        <v>3073618</v>
      </c>
      <c r="E5" s="249">
        <f>+'NOT TO USE.'!E5</f>
        <v>2730915.36</v>
      </c>
      <c r="F5" s="249">
        <f>+'NOT TO USE.'!G5</f>
        <v>2827475</v>
      </c>
      <c r="G5" s="249">
        <f>+'NOT TO USE.'!H5</f>
        <v>2588050</v>
      </c>
      <c r="H5" s="249">
        <f>+'NOT TO USE.'!J5</f>
        <v>3025526</v>
      </c>
      <c r="J5" s="248">
        <f>D5-E5</f>
        <v>342702.64000000013</v>
      </c>
      <c r="K5" s="285">
        <f>+J5/E5</f>
        <v>0.12549002617203051</v>
      </c>
      <c r="M5" s="248">
        <f>E5-F5</f>
        <v>-96559.64000000013</v>
      </c>
      <c r="N5" s="285">
        <f>+M5/F5</f>
        <v>-3.4150484089160868E-2</v>
      </c>
    </row>
    <row r="6" spans="1:14" x14ac:dyDescent="0.3">
      <c r="A6" s="2"/>
      <c r="B6" s="203" t="s">
        <v>16</v>
      </c>
      <c r="C6" s="4"/>
      <c r="D6" s="250">
        <f>SUM(D5)</f>
        <v>3073618</v>
      </c>
      <c r="E6" s="250">
        <f>SUM(E5)</f>
        <v>2730915.36</v>
      </c>
      <c r="F6" s="250">
        <f>SUM(F5)</f>
        <v>2827475</v>
      </c>
      <c r="G6" s="250">
        <f>+G5</f>
        <v>2588050</v>
      </c>
      <c r="H6" s="250">
        <f>+H5</f>
        <v>3025526</v>
      </c>
      <c r="J6" s="237">
        <f>D6-E6</f>
        <v>342702.64000000013</v>
      </c>
      <c r="K6" s="286">
        <f>+J6/E6</f>
        <v>0.12549002617203051</v>
      </c>
      <c r="M6" s="237">
        <f>E6-F6</f>
        <v>-96559.64000000013</v>
      </c>
      <c r="N6" s="286">
        <f>+M6/F6</f>
        <v>-3.4150484089160868E-2</v>
      </c>
    </row>
    <row r="7" spans="1:14" x14ac:dyDescent="0.3">
      <c r="A7" s="1"/>
      <c r="B7" s="204"/>
      <c r="C7" s="3"/>
      <c r="D7" s="251"/>
      <c r="E7" s="251"/>
      <c r="F7" s="251"/>
      <c r="G7" s="251"/>
      <c r="H7" s="251"/>
      <c r="J7" s="238">
        <f>+J6/E6</f>
        <v>0.12549002617203051</v>
      </c>
      <c r="K7" s="287"/>
      <c r="M7" s="309">
        <f>+M6/F6</f>
        <v>-3.4150484089160868E-2</v>
      </c>
      <c r="N7" s="287"/>
    </row>
    <row r="8" spans="1:14" x14ac:dyDescent="0.3">
      <c r="A8" s="1"/>
      <c r="B8" s="204" t="s">
        <v>17</v>
      </c>
      <c r="C8" s="3"/>
      <c r="D8" s="251">
        <f>+'NOT TO USE.'!D8</f>
        <v>1160225.9000000001</v>
      </c>
      <c r="E8" s="251">
        <f>+'NOT TO USE.'!E8</f>
        <v>1061411</v>
      </c>
      <c r="F8" s="251">
        <f>+'NOT TO USE.'!G8</f>
        <v>1140816.9060999998</v>
      </c>
      <c r="G8" s="251">
        <f>+'NOT TO USE.'!H8</f>
        <v>1010975</v>
      </c>
      <c r="H8" s="251">
        <f>+'NOT TO USE.'!J8</f>
        <v>1088697</v>
      </c>
      <c r="J8" s="237">
        <f t="shared" ref="J8:J13" si="0">D8-E8</f>
        <v>98814.90000000014</v>
      </c>
      <c r="K8" s="286">
        <f t="shared" ref="K8:K13" si="1">+J8/E8</f>
        <v>9.3097678467624831E-2</v>
      </c>
      <c r="M8" s="237">
        <f t="shared" ref="M8:M13" si="2">E8-F8</f>
        <v>-79405.906099999789</v>
      </c>
      <c r="N8" s="286">
        <f t="shared" ref="N8:N13" si="3">+M8/F8</f>
        <v>-6.960442615761811E-2</v>
      </c>
    </row>
    <row r="9" spans="1:14" x14ac:dyDescent="0.3">
      <c r="A9" s="1"/>
      <c r="B9" s="204" t="s">
        <v>18</v>
      </c>
      <c r="C9" s="3"/>
      <c r="D9" s="251">
        <f>+'NOT TO USE.'!D9</f>
        <v>1170801.28</v>
      </c>
      <c r="E9" s="251">
        <f>+'NOT TO USE.'!E9</f>
        <v>917709.14999999991</v>
      </c>
      <c r="F9" s="251">
        <f>+'NOT TO USE.'!G9</f>
        <v>1099121.3400000003</v>
      </c>
      <c r="G9" s="251">
        <f>+'NOT TO USE.'!H9</f>
        <v>644808</v>
      </c>
      <c r="H9" s="251">
        <f>+'NOT TO USE.'!J9</f>
        <v>1099990</v>
      </c>
      <c r="J9" s="237">
        <f t="shared" si="0"/>
        <v>253092.13000000012</v>
      </c>
      <c r="K9" s="286">
        <f t="shared" si="1"/>
        <v>0.27578686558807891</v>
      </c>
      <c r="M9" s="237">
        <f t="shared" si="2"/>
        <v>-181412.19000000041</v>
      </c>
      <c r="N9" s="286">
        <f t="shared" si="3"/>
        <v>-0.16505201327453106</v>
      </c>
    </row>
    <row r="10" spans="1:14" x14ac:dyDescent="0.3">
      <c r="A10" s="1"/>
      <c r="B10" s="204" t="s">
        <v>19</v>
      </c>
      <c r="C10" s="3"/>
      <c r="D10" s="251">
        <f>+'NOT TO USE.'!D10</f>
        <v>431094.75</v>
      </c>
      <c r="E10" s="251">
        <f>+'NOT TO USE.'!E10</f>
        <v>364865.12866644404</v>
      </c>
      <c r="F10" s="251">
        <f>+'NOT TO USE.'!G10</f>
        <v>378189.53999999992</v>
      </c>
      <c r="G10" s="251">
        <f>+'NOT TO USE.'!H10</f>
        <v>223967</v>
      </c>
      <c r="H10" s="251">
        <f>+'NOT TO USE.'!J10</f>
        <v>409493</v>
      </c>
      <c r="J10" s="237">
        <f t="shared" si="0"/>
        <v>66229.621333555959</v>
      </c>
      <c r="K10" s="286">
        <f t="shared" si="1"/>
        <v>0.1815180901929995</v>
      </c>
      <c r="M10" s="237">
        <f t="shared" si="2"/>
        <v>-13324.41133355588</v>
      </c>
      <c r="N10" s="286">
        <f t="shared" si="3"/>
        <v>-3.523209905159165E-2</v>
      </c>
    </row>
    <row r="11" spans="1:14" x14ac:dyDescent="0.3">
      <c r="A11" s="1"/>
      <c r="B11" s="204" t="s">
        <v>20</v>
      </c>
      <c r="C11" s="3"/>
      <c r="D11" s="251">
        <f>+'NOT TO USE.'!D11</f>
        <v>82400</v>
      </c>
      <c r="E11" s="251">
        <f>+'NOT TO USE.'!E11</f>
        <v>74251.5</v>
      </c>
      <c r="F11" s="251">
        <f>+'NOT TO USE.'!G11</f>
        <v>71291.670000000013</v>
      </c>
      <c r="G11" s="251">
        <f>+'NOT TO USE.'!H11</f>
        <v>54479</v>
      </c>
      <c r="H11" s="251">
        <f>+'NOT TO USE.'!J11</f>
        <v>63510</v>
      </c>
      <c r="J11" s="237">
        <f t="shared" si="0"/>
        <v>8148.5</v>
      </c>
      <c r="K11" s="286">
        <f t="shared" si="1"/>
        <v>0.10974189073621408</v>
      </c>
      <c r="M11" s="237">
        <f t="shared" si="2"/>
        <v>2959.8299999999872</v>
      </c>
      <c r="N11" s="286">
        <f t="shared" si="3"/>
        <v>4.1517192681837678E-2</v>
      </c>
    </row>
    <row r="12" spans="1:14" ht="15" thickBot="1" x14ac:dyDescent="0.35">
      <c r="A12" s="1"/>
      <c r="B12" s="205" t="s">
        <v>21</v>
      </c>
      <c r="C12" s="3"/>
      <c r="D12" s="252">
        <f>+'NOT TO USE.'!D12</f>
        <v>266000</v>
      </c>
      <c r="E12" s="252">
        <f>+'NOT TO USE.'!E12</f>
        <v>283692</v>
      </c>
      <c r="F12" s="252">
        <f>+'NOT TO USE.'!G12</f>
        <v>198250</v>
      </c>
      <c r="G12" s="252">
        <f>+'NOT TO USE.'!H12</f>
        <v>139546</v>
      </c>
      <c r="H12" s="252">
        <f>+'NOT TO USE.'!J12</f>
        <v>262888</v>
      </c>
      <c r="J12" s="246">
        <f t="shared" si="0"/>
        <v>-17692</v>
      </c>
      <c r="K12" s="288">
        <f t="shared" si="1"/>
        <v>-6.2363408203262694E-2</v>
      </c>
      <c r="M12" s="246">
        <f t="shared" si="2"/>
        <v>85442</v>
      </c>
      <c r="N12" s="288">
        <f t="shared" si="3"/>
        <v>0.43098108448928119</v>
      </c>
    </row>
    <row r="13" spans="1:14" x14ac:dyDescent="0.3">
      <c r="A13" s="2"/>
      <c r="B13" s="203" t="s">
        <v>22</v>
      </c>
      <c r="C13" s="4"/>
      <c r="D13" s="253">
        <f>SUM(D8:D12)</f>
        <v>3110521.93</v>
      </c>
      <c r="E13" s="253">
        <f>SUM(E8:E12)</f>
        <v>2701928.7786664441</v>
      </c>
      <c r="F13" s="253">
        <f>SUM(F8:F12)</f>
        <v>2887669.4561000001</v>
      </c>
      <c r="G13" s="253">
        <f>SUM(G8:G12)</f>
        <v>2073775</v>
      </c>
      <c r="H13" s="253">
        <f>SUM(H8:H12)</f>
        <v>2924578</v>
      </c>
      <c r="J13" s="239">
        <f t="shared" si="0"/>
        <v>408593.15133355604</v>
      </c>
      <c r="K13" s="287">
        <f t="shared" si="1"/>
        <v>0.15122276891962344</v>
      </c>
      <c r="M13" s="239">
        <f t="shared" si="2"/>
        <v>-185740.67743355595</v>
      </c>
      <c r="N13" s="287">
        <f t="shared" si="3"/>
        <v>-6.432200092749249E-2</v>
      </c>
    </row>
    <row r="14" spans="1:14" x14ac:dyDescent="0.3">
      <c r="A14" s="1"/>
      <c r="B14" s="204"/>
      <c r="C14" s="3"/>
      <c r="D14" s="251"/>
      <c r="E14" s="251"/>
      <c r="F14" s="251"/>
      <c r="G14" s="251"/>
      <c r="H14" s="251"/>
      <c r="J14" s="240">
        <f>+J13/E13</f>
        <v>0.15122276891962344</v>
      </c>
      <c r="K14" s="286"/>
      <c r="M14" s="310">
        <f>+M13/F13</f>
        <v>-6.432200092749249E-2</v>
      </c>
      <c r="N14" s="286"/>
    </row>
    <row r="15" spans="1:14" x14ac:dyDescent="0.3">
      <c r="A15" s="1"/>
      <c r="B15" s="204" t="s">
        <v>23</v>
      </c>
      <c r="C15" s="3"/>
      <c r="D15" s="251">
        <f>'NOT TO USE.'!D15</f>
        <v>-1140358</v>
      </c>
      <c r="E15" s="251">
        <f>'NOT TO USE.'!E15</f>
        <v>-956333</v>
      </c>
      <c r="F15" s="251">
        <f>'NOT TO USE.'!G15</f>
        <v>-971514</v>
      </c>
      <c r="G15" s="251">
        <f>'NOT TO USE.'!H15</f>
        <v>-870465</v>
      </c>
      <c r="H15" s="251">
        <f>'NOT TO USE.'!J15</f>
        <v>-749079</v>
      </c>
      <c r="J15" s="237">
        <f t="shared" ref="J15:J25" si="4">D15-E15</f>
        <v>-184025</v>
      </c>
      <c r="K15" s="286">
        <f>+J15/E15</f>
        <v>0.19242774221949885</v>
      </c>
      <c r="M15" s="237">
        <f t="shared" ref="M15:M25" si="5">E15-F15</f>
        <v>15181</v>
      </c>
      <c r="N15" s="286">
        <f>+M15/F15</f>
        <v>-1.5626125820111702E-2</v>
      </c>
    </row>
    <row r="16" spans="1:14" x14ac:dyDescent="0.3">
      <c r="A16" s="1"/>
      <c r="B16" s="204" t="s">
        <v>24</v>
      </c>
      <c r="C16" s="3"/>
      <c r="D16" s="251">
        <f>'NOT TO USE.'!D16</f>
        <v>1140358</v>
      </c>
      <c r="E16" s="251">
        <f>'NOT TO USE.'!E16</f>
        <v>956333</v>
      </c>
      <c r="F16" s="251">
        <f>'NOT TO USE.'!G16</f>
        <v>971514</v>
      </c>
      <c r="G16" s="251">
        <f>'NOT TO USE.'!H16</f>
        <v>870465</v>
      </c>
      <c r="H16" s="251">
        <f>'NOT TO USE.'!J16</f>
        <v>749079</v>
      </c>
      <c r="J16" s="237">
        <f t="shared" si="4"/>
        <v>184025</v>
      </c>
      <c r="K16" s="286">
        <f>+J16/E16</f>
        <v>0.19242774221949885</v>
      </c>
      <c r="M16" s="237">
        <f t="shared" si="5"/>
        <v>-15181</v>
      </c>
      <c r="N16" s="286">
        <f>+M16/F16</f>
        <v>-1.5626125820111702E-2</v>
      </c>
    </row>
    <row r="17" spans="1:14" ht="15" thickBot="1" x14ac:dyDescent="0.35">
      <c r="A17" s="1"/>
      <c r="B17" s="205" t="s">
        <v>25</v>
      </c>
      <c r="C17" s="3"/>
      <c r="D17" s="251"/>
      <c r="E17" s="251"/>
      <c r="F17" s="251"/>
      <c r="G17" s="251"/>
      <c r="H17" s="251"/>
      <c r="J17" s="246">
        <f t="shared" si="4"/>
        <v>0</v>
      </c>
      <c r="K17" s="288"/>
      <c r="M17" s="246">
        <f t="shared" si="5"/>
        <v>0</v>
      </c>
      <c r="N17" s="288"/>
    </row>
    <row r="18" spans="1:14" x14ac:dyDescent="0.3">
      <c r="A18" s="2"/>
      <c r="B18" s="203" t="s">
        <v>26</v>
      </c>
      <c r="C18" s="4"/>
      <c r="D18" s="253">
        <f>SUM(D15:D17)</f>
        <v>0</v>
      </c>
      <c r="E18" s="253">
        <f>SUM(E15:E17)</f>
        <v>0</v>
      </c>
      <c r="F18" s="253">
        <f>SUM(G15:G17)</f>
        <v>0</v>
      </c>
      <c r="G18" s="253">
        <f>SUM(J15:J17)</f>
        <v>0</v>
      </c>
      <c r="H18" s="253">
        <f>SUM(K15:K17)</f>
        <v>0.3848554844389977</v>
      </c>
      <c r="J18" s="237">
        <f t="shared" si="4"/>
        <v>0</v>
      </c>
      <c r="K18" s="286"/>
      <c r="M18" s="237">
        <f t="shared" si="5"/>
        <v>0</v>
      </c>
      <c r="N18" s="286"/>
    </row>
    <row r="19" spans="1:14" x14ac:dyDescent="0.3">
      <c r="A19" s="1"/>
      <c r="B19" s="204"/>
      <c r="C19" s="3"/>
      <c r="D19" s="251"/>
      <c r="E19" s="251"/>
      <c r="F19" s="251"/>
      <c r="G19" s="251"/>
      <c r="H19" s="251"/>
      <c r="J19" s="237">
        <f t="shared" si="4"/>
        <v>0</v>
      </c>
      <c r="K19" s="286"/>
      <c r="M19" s="237">
        <f t="shared" si="5"/>
        <v>0</v>
      </c>
      <c r="N19" s="286"/>
    </row>
    <row r="20" spans="1:14" x14ac:dyDescent="0.3">
      <c r="A20" s="1"/>
      <c r="B20" s="204" t="s">
        <v>27</v>
      </c>
      <c r="C20" s="3"/>
      <c r="D20" s="255">
        <f>+'NOT TO USE.'!D20</f>
        <v>-193608</v>
      </c>
      <c r="E20" s="255">
        <f>+'NOT TO USE.'!E20</f>
        <v>-145206</v>
      </c>
      <c r="F20" s="255">
        <f>+'NOT TO USE.'!G20</f>
        <v>-145206</v>
      </c>
      <c r="G20" s="255">
        <f>+'NOT TO USE.'!H20</f>
        <v>-32268</v>
      </c>
      <c r="H20" s="255">
        <f>+'NOT TO USE.'!J20</f>
        <v>-193608</v>
      </c>
      <c r="J20" s="237">
        <f t="shared" si="4"/>
        <v>-48402</v>
      </c>
      <c r="K20" s="286">
        <f>+J20/E20</f>
        <v>0.33333333333333331</v>
      </c>
      <c r="M20" s="237">
        <f t="shared" si="5"/>
        <v>0</v>
      </c>
      <c r="N20" s="286">
        <f>+M20/F20</f>
        <v>0</v>
      </c>
    </row>
    <row r="21" spans="1:14" x14ac:dyDescent="0.3">
      <c r="A21" s="1"/>
      <c r="B21" s="204" t="s">
        <v>28</v>
      </c>
      <c r="C21" s="3"/>
      <c r="D21" s="255">
        <f>+'NOT TO USE.'!D21</f>
        <v>-322680</v>
      </c>
      <c r="E21" s="255">
        <f>+'NOT TO USE.'!E21</f>
        <v>-242010</v>
      </c>
      <c r="F21" s="255">
        <f>+'NOT TO USE.'!G21</f>
        <v>-242010</v>
      </c>
      <c r="G21" s="255">
        <f>+'NOT TO USE.'!H21</f>
        <v>-53780</v>
      </c>
      <c r="H21" s="255">
        <f>+'NOT TO USE.'!J21</f>
        <v>-322680</v>
      </c>
      <c r="J21" s="237">
        <f t="shared" si="4"/>
        <v>-80670</v>
      </c>
      <c r="K21" s="286">
        <f>+J21/E21</f>
        <v>0.33333333333333331</v>
      </c>
      <c r="M21" s="237">
        <f t="shared" si="5"/>
        <v>0</v>
      </c>
      <c r="N21" s="286">
        <f>+M21/F21</f>
        <v>0</v>
      </c>
    </row>
    <row r="22" spans="1:14" ht="15" thickBot="1" x14ac:dyDescent="0.35">
      <c r="A22" s="1"/>
      <c r="B22" s="205" t="s">
        <v>29</v>
      </c>
      <c r="C22" s="3"/>
      <c r="D22" s="256">
        <f>+'NOT TO USE.'!D22</f>
        <v>516288</v>
      </c>
      <c r="E22" s="256">
        <f>+'NOT TO USE.'!E22</f>
        <v>387216</v>
      </c>
      <c r="F22" s="256">
        <f>+'NOT TO USE.'!G22</f>
        <v>387216</v>
      </c>
      <c r="G22" s="256">
        <f>+'NOT TO USE.'!H22</f>
        <v>86048</v>
      </c>
      <c r="H22" s="256">
        <f>+'NOT TO USE.'!J22</f>
        <v>516288</v>
      </c>
      <c r="J22" s="246">
        <f t="shared" si="4"/>
        <v>129072</v>
      </c>
      <c r="K22" s="288">
        <f>+J22/E22</f>
        <v>0.33333333333333331</v>
      </c>
      <c r="M22" s="246">
        <f t="shared" si="5"/>
        <v>0</v>
      </c>
      <c r="N22" s="288">
        <f>+M22/F22</f>
        <v>0</v>
      </c>
    </row>
    <row r="23" spans="1:14" x14ac:dyDescent="0.3">
      <c r="A23" s="2"/>
      <c r="B23" s="203" t="s">
        <v>30</v>
      </c>
      <c r="C23" s="4"/>
      <c r="D23" s="196">
        <f>SUM(D20:D22)</f>
        <v>0</v>
      </c>
      <c r="E23" s="24">
        <f>SUM(E20:E22)</f>
        <v>0</v>
      </c>
      <c r="F23" s="24">
        <f>SUM(G20:G22)</f>
        <v>0</v>
      </c>
      <c r="G23" s="197">
        <f>SUM(J20:J22)</f>
        <v>0</v>
      </c>
      <c r="H23" s="197">
        <f>SUM(K20:K22)</f>
        <v>1</v>
      </c>
      <c r="J23" s="237">
        <f t="shared" si="4"/>
        <v>0</v>
      </c>
      <c r="K23" s="286"/>
      <c r="M23" s="237">
        <f t="shared" si="5"/>
        <v>0</v>
      </c>
      <c r="N23" s="286"/>
    </row>
    <row r="24" spans="1:14" x14ac:dyDescent="0.3">
      <c r="A24" s="1"/>
      <c r="B24" s="204"/>
      <c r="C24" s="3"/>
      <c r="D24" s="198"/>
      <c r="E24" s="39"/>
      <c r="F24" s="39"/>
      <c r="G24" s="199"/>
      <c r="H24" s="199"/>
      <c r="J24" s="237">
        <f t="shared" si="4"/>
        <v>0</v>
      </c>
      <c r="K24" s="286"/>
      <c r="M24" s="237">
        <f t="shared" si="5"/>
        <v>0</v>
      </c>
      <c r="N24" s="286"/>
    </row>
    <row r="25" spans="1:14" ht="15" thickBot="1" x14ac:dyDescent="0.35">
      <c r="A25" s="1"/>
      <c r="B25" s="206" t="s">
        <v>31</v>
      </c>
      <c r="C25" s="4"/>
      <c r="D25" s="200">
        <f>D6-D13-D18-D23</f>
        <v>-36903.930000000168</v>
      </c>
      <c r="E25" s="201">
        <f>E6-E13-E18-E23</f>
        <v>28986.581333555747</v>
      </c>
      <c r="F25" s="201">
        <f>F6-F13-F18-F23</f>
        <v>-60194.456100000069</v>
      </c>
      <c r="G25" s="201">
        <f>G6-G13-G18-G23</f>
        <v>514275</v>
      </c>
      <c r="H25" s="201">
        <f>H6-H13-H18-H23</f>
        <v>100946.61514451556</v>
      </c>
      <c r="J25" s="241">
        <f t="shared" si="4"/>
        <v>-65890.511333555914</v>
      </c>
      <c r="K25" s="292">
        <f>+J25/E25</f>
        <v>-2.2731384075734056</v>
      </c>
      <c r="M25" s="241">
        <f t="shared" si="5"/>
        <v>89181.037433555815</v>
      </c>
      <c r="N25" s="292"/>
    </row>
    <row r="26" spans="1:14" x14ac:dyDescent="0.3">
      <c r="A26" s="1"/>
      <c r="B26" s="2"/>
      <c r="C26" s="4"/>
      <c r="D26" s="47"/>
      <c r="E26" s="47"/>
      <c r="F26" s="47"/>
      <c r="G26" s="47"/>
      <c r="H26" s="47"/>
      <c r="J26" s="231"/>
      <c r="K26" s="231"/>
      <c r="M26" s="231"/>
      <c r="N26" s="231"/>
    </row>
    <row r="27" spans="1:14" ht="15" thickBot="1" x14ac:dyDescent="0.35">
      <c r="A27" s="1"/>
      <c r="B27" s="48"/>
      <c r="C27" s="49"/>
      <c r="D27" s="3"/>
      <c r="E27" s="3"/>
      <c r="F27" s="3"/>
      <c r="G27" s="3"/>
      <c r="H27" s="3"/>
      <c r="J27" s="3"/>
      <c r="K27" s="293"/>
      <c r="M27" s="3"/>
      <c r="N27" s="293"/>
    </row>
    <row r="28" spans="1:14" ht="15" thickBot="1" x14ac:dyDescent="0.35">
      <c r="A28" s="1"/>
      <c r="B28" s="208" t="s">
        <v>35</v>
      </c>
      <c r="C28" s="4"/>
      <c r="D28" s="62"/>
      <c r="E28" s="62"/>
      <c r="F28" s="62"/>
      <c r="G28" s="62"/>
      <c r="H28" s="62"/>
      <c r="J28" s="62"/>
      <c r="K28" s="294"/>
      <c r="M28" s="62"/>
      <c r="N28" s="294"/>
    </row>
    <row r="29" spans="1:14" ht="15" thickBot="1" x14ac:dyDescent="0.35">
      <c r="A29" s="1"/>
      <c r="B29" s="48"/>
      <c r="C29" s="49"/>
      <c r="D29" s="59"/>
      <c r="E29" s="59"/>
      <c r="F29" s="59"/>
      <c r="G29" s="59"/>
      <c r="H29" s="59"/>
      <c r="J29" s="59"/>
      <c r="K29" s="295"/>
      <c r="M29" s="59"/>
      <c r="N29" s="295"/>
    </row>
    <row r="30" spans="1:14" ht="15" thickBot="1" x14ac:dyDescent="0.35">
      <c r="A30" s="1"/>
      <c r="B30" s="209" t="s">
        <v>37</v>
      </c>
      <c r="C30" s="4"/>
      <c r="D30" s="191" t="str">
        <f>D3</f>
        <v>BUDGET 2022</v>
      </c>
      <c r="E30" s="191" t="str">
        <f t="shared" ref="E30:H30" si="6">E3</f>
        <v>ACTUAL 2021</v>
      </c>
      <c r="F30" s="191" t="str">
        <f t="shared" si="6"/>
        <v>BUDGET 2021</v>
      </c>
      <c r="G30" s="191" t="str">
        <f t="shared" si="6"/>
        <v>ACTUAL 2020</v>
      </c>
      <c r="H30" s="191" t="str">
        <f t="shared" si="6"/>
        <v>ACTUAL 2019</v>
      </c>
      <c r="J30" s="235" t="str">
        <f>+J$3</f>
        <v>B 2022 vs Act 2021</v>
      </c>
      <c r="K30" s="311" t="str">
        <f>+K$3</f>
        <v>%</v>
      </c>
      <c r="M30" s="235" t="str">
        <f>+M$3</f>
        <v>Act 2021 vs Bud 2021</v>
      </c>
      <c r="N30" s="311" t="str">
        <f>+N$3</f>
        <v>%</v>
      </c>
    </row>
    <row r="31" spans="1:14" x14ac:dyDescent="0.3">
      <c r="A31" s="1"/>
      <c r="B31" s="204" t="s">
        <v>38</v>
      </c>
      <c r="C31" s="3"/>
      <c r="D31" s="213">
        <f>'NOT TO USE.'!D31</f>
        <v>2471484</v>
      </c>
      <c r="E31" s="251">
        <f>'NOT TO USE.'!E31</f>
        <v>2286117</v>
      </c>
      <c r="F31" s="251">
        <f>'NOT TO USE.'!G31</f>
        <v>2285996.9399999995</v>
      </c>
      <c r="G31" s="229">
        <f>'NOT TO USE.'!H31</f>
        <v>2286117</v>
      </c>
      <c r="H31" s="229">
        <f>'NOT TO USE.'!J31</f>
        <v>2447052</v>
      </c>
      <c r="J31" s="299">
        <f t="shared" ref="J31:J41" si="7">D31-E31</f>
        <v>185367</v>
      </c>
      <c r="K31" s="302">
        <f>+J31/E31</f>
        <v>8.1083776552118722E-2</v>
      </c>
      <c r="M31" s="299">
        <f t="shared" ref="M31:M41" si="8">E31-F31</f>
        <v>120.06000000052154</v>
      </c>
      <c r="N31" s="302">
        <f>+M31/F31</f>
        <v>5.2519755341632947E-5</v>
      </c>
    </row>
    <row r="32" spans="1:14" x14ac:dyDescent="0.3">
      <c r="A32" s="1"/>
      <c r="B32" s="204" t="s">
        <v>39</v>
      </c>
      <c r="C32" s="3"/>
      <c r="D32" s="213">
        <f>'NOT TO USE.'!D32</f>
        <v>70140</v>
      </c>
      <c r="E32" s="251">
        <f>'NOT TO USE.'!E32</f>
        <v>70140</v>
      </c>
      <c r="F32" s="251">
        <f>'NOT TO USE.'!G32</f>
        <v>70140</v>
      </c>
      <c r="G32" s="229">
        <f>'NOT TO USE.'!H32</f>
        <v>70140</v>
      </c>
      <c r="H32" s="229">
        <f>'NOT TO USE.'!J32</f>
        <v>69708</v>
      </c>
      <c r="J32" s="299">
        <f t="shared" si="7"/>
        <v>0</v>
      </c>
      <c r="K32" s="302">
        <f>+J32/E32</f>
        <v>0</v>
      </c>
      <c r="M32" s="299">
        <f t="shared" si="8"/>
        <v>0</v>
      </c>
      <c r="N32" s="302">
        <f>+M32/F32</f>
        <v>0</v>
      </c>
    </row>
    <row r="33" spans="1:14" x14ac:dyDescent="0.3">
      <c r="A33" s="1"/>
      <c r="B33" s="204" t="s">
        <v>40</v>
      </c>
      <c r="C33" s="3"/>
      <c r="D33" s="213">
        <f>'NOT TO USE.'!D33</f>
        <v>0</v>
      </c>
      <c r="E33" s="251">
        <f>'NOT TO USE.'!E33</f>
        <v>0</v>
      </c>
      <c r="F33" s="251">
        <f>'NOT TO USE.'!G33</f>
        <v>0</v>
      </c>
      <c r="G33" s="229">
        <f>'NOT TO USE.'!H33</f>
        <v>0</v>
      </c>
      <c r="H33" s="229">
        <f>'NOT TO USE.'!J33</f>
        <v>0</v>
      </c>
      <c r="J33" s="299">
        <f t="shared" si="7"/>
        <v>0</v>
      </c>
      <c r="K33" s="302"/>
      <c r="M33" s="299">
        <f t="shared" si="8"/>
        <v>0</v>
      </c>
      <c r="N33" s="302"/>
    </row>
    <row r="34" spans="1:14" x14ac:dyDescent="0.3">
      <c r="A34" s="1"/>
      <c r="B34" s="204" t="s">
        <v>41</v>
      </c>
      <c r="C34" s="3"/>
      <c r="D34" s="213">
        <f>'NOT TO USE.'!D34</f>
        <v>438000</v>
      </c>
      <c r="E34" s="251">
        <f>'NOT TO USE.'!E34</f>
        <v>285641.89</v>
      </c>
      <c r="F34" s="251">
        <f>'NOT TO USE.'!G34</f>
        <v>420083.36999999988</v>
      </c>
      <c r="G34" s="229">
        <f>'NOT TO USE.'!H34</f>
        <v>201459</v>
      </c>
      <c r="H34" s="229">
        <f>'NOT TO USE.'!J34</f>
        <v>426574</v>
      </c>
      <c r="J34" s="299">
        <f t="shared" si="7"/>
        <v>152358.10999999999</v>
      </c>
      <c r="K34" s="302">
        <f>+J34/E34</f>
        <v>0.53338853765461358</v>
      </c>
      <c r="M34" s="299">
        <f t="shared" si="8"/>
        <v>-134441.47999999986</v>
      </c>
      <c r="N34" s="302">
        <f>+M34/F34</f>
        <v>-0.3200352349106319</v>
      </c>
    </row>
    <row r="35" spans="1:14" x14ac:dyDescent="0.3">
      <c r="A35" s="1"/>
      <c r="B35" s="204" t="s">
        <v>42</v>
      </c>
      <c r="C35" s="3"/>
      <c r="D35" s="213">
        <f>'NOT TO USE.'!D35</f>
        <v>21840</v>
      </c>
      <c r="E35" s="251">
        <f>'NOT TO USE.'!E35</f>
        <v>18627.13</v>
      </c>
      <c r="F35" s="251">
        <f>'NOT TO USE.'!G35</f>
        <v>12850</v>
      </c>
      <c r="G35" s="229">
        <f>'NOT TO USE.'!H35</f>
        <v>9412</v>
      </c>
      <c r="H35" s="229">
        <f>'NOT TO USE.'!J35</f>
        <v>18165</v>
      </c>
      <c r="J35" s="299">
        <f t="shared" si="7"/>
        <v>3212.869999999999</v>
      </c>
      <c r="K35" s="302">
        <f>+J35/E35</f>
        <v>0.17248336163434724</v>
      </c>
      <c r="M35" s="299">
        <f t="shared" si="8"/>
        <v>5777.130000000001</v>
      </c>
      <c r="N35" s="302">
        <f>+M35/F35</f>
        <v>0.44958210116731523</v>
      </c>
    </row>
    <row r="36" spans="1:14" x14ac:dyDescent="0.3">
      <c r="A36" s="1"/>
      <c r="B36" s="204" t="s">
        <v>43</v>
      </c>
      <c r="C36" s="3"/>
      <c r="D36" s="213">
        <f>'NOT TO USE.'!D36</f>
        <v>55488</v>
      </c>
      <c r="E36" s="251">
        <f>'NOT TO USE.'!E36</f>
        <v>51901.59</v>
      </c>
      <c r="F36" s="251">
        <f>'NOT TO USE.'!G36</f>
        <v>36460</v>
      </c>
      <c r="G36" s="229">
        <f>'NOT TO USE.'!H36</f>
        <v>26764</v>
      </c>
      <c r="H36" s="229">
        <f>'NOT TO USE.'!J36</f>
        <v>55457</v>
      </c>
      <c r="J36" s="299">
        <f t="shared" si="7"/>
        <v>3586.4100000000035</v>
      </c>
      <c r="K36" s="302">
        <f>+J36/E36</f>
        <v>6.9100195196332204E-2</v>
      </c>
      <c r="M36" s="299">
        <f t="shared" si="8"/>
        <v>15441.589999999997</v>
      </c>
      <c r="N36" s="302">
        <f>+M36/F36</f>
        <v>0.42352139330773442</v>
      </c>
    </row>
    <row r="37" spans="1:14" x14ac:dyDescent="0.3">
      <c r="A37" s="1"/>
      <c r="B37" s="204" t="s">
        <v>44</v>
      </c>
      <c r="C37" s="3"/>
      <c r="D37" s="213">
        <f>'NOT TO USE.'!D37</f>
        <v>14400</v>
      </c>
      <c r="E37" s="251">
        <f>'NOT TO USE.'!E37</f>
        <v>16546</v>
      </c>
      <c r="F37" s="251">
        <f>'NOT TO USE.'!G37</f>
        <v>0</v>
      </c>
      <c r="G37" s="229">
        <f>'NOT TO USE.'!H37</f>
        <v>-7226</v>
      </c>
      <c r="H37" s="229">
        <f>'NOT TO USE.'!J37</f>
        <v>5782</v>
      </c>
      <c r="J37" s="299">
        <f t="shared" si="7"/>
        <v>-2146</v>
      </c>
      <c r="K37" s="302">
        <f>+J37/E37</f>
        <v>-0.12969902091139854</v>
      </c>
      <c r="M37" s="299">
        <f t="shared" si="8"/>
        <v>16546</v>
      </c>
      <c r="N37" s="302" t="e">
        <f>+M37/F37</f>
        <v>#DIV/0!</v>
      </c>
    </row>
    <row r="38" spans="1:14" x14ac:dyDescent="0.3">
      <c r="A38" s="1"/>
      <c r="B38" s="204" t="s">
        <v>45</v>
      </c>
      <c r="C38" s="3"/>
      <c r="D38" s="213">
        <f>'NOT TO USE.'!D38</f>
        <v>2016</v>
      </c>
      <c r="E38" s="251">
        <f>'NOT TO USE.'!E38</f>
        <v>1820.0400000000002</v>
      </c>
      <c r="F38" s="251">
        <f>'NOT TO USE.'!G38</f>
        <v>1820</v>
      </c>
      <c r="G38" s="229">
        <f>'NOT TO USE.'!H38</f>
        <v>1193</v>
      </c>
      <c r="H38" s="229">
        <f>'NOT TO USE.'!J38</f>
        <v>486</v>
      </c>
      <c r="J38" s="299">
        <f t="shared" si="7"/>
        <v>195.95999999999981</v>
      </c>
      <c r="K38" s="302">
        <f>+J38/E38</f>
        <v>0.1076679633414649</v>
      </c>
      <c r="M38" s="299">
        <f t="shared" si="8"/>
        <v>4.0000000000190994E-2</v>
      </c>
      <c r="N38" s="302">
        <f>+M38/F38</f>
        <v>2.1978021978126921E-5</v>
      </c>
    </row>
    <row r="39" spans="1:14" x14ac:dyDescent="0.3">
      <c r="A39" s="1"/>
      <c r="B39" s="204" t="s">
        <v>46</v>
      </c>
      <c r="C39" s="3"/>
      <c r="D39" s="213">
        <f>'NOT TO USE.'!D39</f>
        <v>0</v>
      </c>
      <c r="E39" s="251">
        <f>'NOT TO USE.'!E39</f>
        <v>0</v>
      </c>
      <c r="F39" s="251">
        <f>'NOT TO USE.'!G39</f>
        <v>0</v>
      </c>
      <c r="G39" s="229">
        <f>'NOT TO USE.'!H39</f>
        <v>0</v>
      </c>
      <c r="H39" s="229">
        <f>'NOT TO USE.'!J39</f>
        <v>0</v>
      </c>
      <c r="J39" s="299">
        <f t="shared" si="7"/>
        <v>0</v>
      </c>
      <c r="K39" s="302"/>
      <c r="M39" s="299">
        <f t="shared" si="8"/>
        <v>0</v>
      </c>
      <c r="N39" s="302"/>
    </row>
    <row r="40" spans="1:14" ht="15" thickBot="1" x14ac:dyDescent="0.35">
      <c r="A40" s="1"/>
      <c r="B40" s="205" t="s">
        <v>47</v>
      </c>
      <c r="C40" s="3"/>
      <c r="D40" s="269">
        <f>'NOT TO USE.'!D40</f>
        <v>250</v>
      </c>
      <c r="E40" s="252">
        <f>'NOT TO USE.'!E40</f>
        <v>121.71000000000001</v>
      </c>
      <c r="F40" s="252">
        <f>'NOT TO USE.'!G40</f>
        <v>125</v>
      </c>
      <c r="G40" s="230">
        <f>'NOT TO USE.'!H40</f>
        <v>191</v>
      </c>
      <c r="H40" s="230">
        <f>'NOT TO USE.'!J40</f>
        <v>2302</v>
      </c>
      <c r="J40" s="300">
        <f t="shared" si="7"/>
        <v>128.29</v>
      </c>
      <c r="K40" s="303">
        <f>+J40/E40</f>
        <v>1.0540629364883738</v>
      </c>
      <c r="M40" s="300">
        <f t="shared" si="8"/>
        <v>-3.289999999999992</v>
      </c>
      <c r="N40" s="303">
        <f>+M40/F40</f>
        <v>-2.6319999999999937E-2</v>
      </c>
    </row>
    <row r="41" spans="1:14" ht="15" thickBot="1" x14ac:dyDescent="0.35">
      <c r="A41" s="1"/>
      <c r="B41" s="210" t="s">
        <v>16</v>
      </c>
      <c r="C41" s="29"/>
      <c r="D41" s="223">
        <f>SUM(D31:D40)</f>
        <v>3073618</v>
      </c>
      <c r="E41" s="270">
        <f>SUM(E31:E40)</f>
        <v>2730915.36</v>
      </c>
      <c r="F41" s="270">
        <f>SUM(F31:F40)</f>
        <v>2827475.3099999996</v>
      </c>
      <c r="G41" s="270">
        <f>SUM(G31:G40)</f>
        <v>2588050</v>
      </c>
      <c r="H41" s="270">
        <f>SUM(H31:H40)</f>
        <v>3025526</v>
      </c>
      <c r="J41" s="301">
        <f t="shared" si="7"/>
        <v>342702.64000000013</v>
      </c>
      <c r="K41" s="304">
        <f>+J41/E41</f>
        <v>0.12549002617203051</v>
      </c>
      <c r="M41" s="301">
        <f t="shared" si="8"/>
        <v>-96559.949999999721</v>
      </c>
      <c r="N41" s="304">
        <f>+M41/F41</f>
        <v>-3.4150589983401036E-2</v>
      </c>
    </row>
    <row r="42" spans="1:14" ht="15" thickBot="1" x14ac:dyDescent="0.35">
      <c r="A42" s="1"/>
      <c r="B42" s="48"/>
      <c r="C42" s="49"/>
      <c r="D42" s="76"/>
      <c r="E42" s="232"/>
      <c r="F42" s="232"/>
      <c r="G42" s="232"/>
      <c r="H42" s="232"/>
      <c r="J42" s="76"/>
      <c r="K42" s="232"/>
      <c r="M42" s="76"/>
      <c r="N42" s="232"/>
    </row>
    <row r="43" spans="1:14" ht="15" thickBot="1" x14ac:dyDescent="0.35">
      <c r="A43" s="1"/>
      <c r="B43" s="208" t="s">
        <v>48</v>
      </c>
      <c r="C43" s="4"/>
      <c r="D43" s="9"/>
      <c r="E43" s="9"/>
      <c r="F43" s="9"/>
      <c r="G43" s="9"/>
      <c r="H43" s="9"/>
      <c r="J43" s="9"/>
      <c r="K43" s="296"/>
      <c r="M43" s="9"/>
      <c r="N43" s="296"/>
    </row>
    <row r="44" spans="1:14" x14ac:dyDescent="0.3">
      <c r="A44" s="1"/>
      <c r="B44" s="211" t="s">
        <v>49</v>
      </c>
      <c r="C44" s="3"/>
      <c r="D44" s="212">
        <f>+'NOT TO USE.'!D44</f>
        <v>216000</v>
      </c>
      <c r="E44" s="257">
        <f>+'NOT TO USE.'!E44</f>
        <v>204053</v>
      </c>
      <c r="F44" s="257">
        <f>+'NOT TO USE.'!G44</f>
        <v>229200</v>
      </c>
      <c r="G44" s="258">
        <f>+'NOT TO USE.'!H44</f>
        <v>169941</v>
      </c>
      <c r="H44" s="258">
        <f>+'NOT TO USE.'!J44</f>
        <v>167516</v>
      </c>
      <c r="J44" s="236">
        <f t="shared" ref="J44:J51" si="9">D44-E44</f>
        <v>11947</v>
      </c>
      <c r="K44" s="305">
        <f>+J44/E44</f>
        <v>5.8548514356564225E-2</v>
      </c>
      <c r="M44" s="236">
        <f t="shared" ref="M44:M51" si="10">E44-F44</f>
        <v>-25147</v>
      </c>
      <c r="N44" s="305">
        <f>+M44/F44</f>
        <v>-0.10971640488656195</v>
      </c>
    </row>
    <row r="45" spans="1:14" x14ac:dyDescent="0.3">
      <c r="A45" s="1"/>
      <c r="B45" s="204" t="s">
        <v>50</v>
      </c>
      <c r="C45" s="3"/>
      <c r="D45" s="213">
        <f>+'NOT TO USE.'!D45</f>
        <v>24000</v>
      </c>
      <c r="E45" s="251">
        <f>+'NOT TO USE.'!E45</f>
        <v>18740</v>
      </c>
      <c r="F45" s="251">
        <f>+'NOT TO USE.'!G45</f>
        <v>24000</v>
      </c>
      <c r="G45" s="229">
        <f>+'NOT TO USE.'!H45</f>
        <v>19384</v>
      </c>
      <c r="H45" s="229">
        <f>+'NOT TO USE.'!J45</f>
        <v>21411</v>
      </c>
      <c r="J45" s="237">
        <f t="shared" si="9"/>
        <v>5260</v>
      </c>
      <c r="K45" s="286">
        <f>+J45/E45</f>
        <v>0.28068303094983993</v>
      </c>
      <c r="M45" s="237">
        <f t="shared" si="10"/>
        <v>-5260</v>
      </c>
      <c r="N45" s="286">
        <f>+M45/F45</f>
        <v>-0.21916666666666668</v>
      </c>
    </row>
    <row r="46" spans="1:14" x14ac:dyDescent="0.3">
      <c r="A46" s="1"/>
      <c r="B46" s="204" t="s">
        <v>51</v>
      </c>
      <c r="C46" s="3"/>
      <c r="D46" s="213">
        <f>+'NOT TO USE.'!D46</f>
        <v>18000</v>
      </c>
      <c r="E46" s="251">
        <f>+'NOT TO USE.'!E46</f>
        <v>15613</v>
      </c>
      <c r="F46" s="251">
        <f>+'NOT TO USE.'!G46</f>
        <v>12600</v>
      </c>
      <c r="G46" s="229">
        <f>+'NOT TO USE.'!H46</f>
        <v>14908</v>
      </c>
      <c r="H46" s="229">
        <f>+'NOT TO USE.'!J46</f>
        <v>10743</v>
      </c>
      <c r="J46" s="237">
        <f t="shared" si="9"/>
        <v>2387</v>
      </c>
      <c r="K46" s="286">
        <f>+J46/E46</f>
        <v>0.1528854159994876</v>
      </c>
      <c r="M46" s="237">
        <f t="shared" si="10"/>
        <v>3013</v>
      </c>
      <c r="N46" s="286">
        <f>+M46/F46</f>
        <v>0.23912698412698413</v>
      </c>
    </row>
    <row r="47" spans="1:14" x14ac:dyDescent="0.3">
      <c r="A47" s="1"/>
      <c r="B47" s="204" t="s">
        <v>52</v>
      </c>
      <c r="C47" s="3"/>
      <c r="D47" s="213">
        <f>+'NOT TO USE.'!D47</f>
        <v>0</v>
      </c>
      <c r="E47" s="251">
        <f>+'NOT TO USE.'!E47</f>
        <v>0</v>
      </c>
      <c r="F47" s="251">
        <f>+'NOT TO USE.'!G47</f>
        <v>0</v>
      </c>
      <c r="G47" s="229">
        <f>+'NOT TO USE.'!H47</f>
        <v>0</v>
      </c>
      <c r="H47" s="229">
        <f>+'NOT TO USE.'!J47</f>
        <v>0</v>
      </c>
      <c r="J47" s="237">
        <f t="shared" si="9"/>
        <v>0</v>
      </c>
      <c r="K47" s="286"/>
      <c r="M47" s="237">
        <f t="shared" si="10"/>
        <v>0</v>
      </c>
      <c r="N47" s="286"/>
    </row>
    <row r="48" spans="1:14" x14ac:dyDescent="0.3">
      <c r="A48" s="1"/>
      <c r="B48" s="204" t="s">
        <v>53</v>
      </c>
      <c r="C48" s="3"/>
      <c r="D48" s="213">
        <f>+'NOT TO USE.'!D48</f>
        <v>0</v>
      </c>
      <c r="E48" s="251">
        <f>+'NOT TO USE.'!E48</f>
        <v>0</v>
      </c>
      <c r="F48" s="251">
        <f>+'NOT TO USE.'!G48</f>
        <v>0</v>
      </c>
      <c r="G48" s="229">
        <f>+'NOT TO USE.'!H48</f>
        <v>0</v>
      </c>
      <c r="H48" s="229">
        <f>+'NOT TO USE.'!J48</f>
        <v>0</v>
      </c>
      <c r="J48" s="237">
        <f t="shared" si="9"/>
        <v>0</v>
      </c>
      <c r="K48" s="286"/>
      <c r="M48" s="237">
        <f t="shared" si="10"/>
        <v>0</v>
      </c>
      <c r="N48" s="286"/>
    </row>
    <row r="49" spans="1:14" x14ac:dyDescent="0.3">
      <c r="A49" s="1"/>
      <c r="B49" s="204" t="s">
        <v>54</v>
      </c>
      <c r="C49" s="3"/>
      <c r="D49" s="213">
        <f>+'NOT TO USE.'!D49</f>
        <v>28800</v>
      </c>
      <c r="E49" s="251">
        <f>+'NOT TO USE.'!E49</f>
        <v>23214</v>
      </c>
      <c r="F49" s="251">
        <f>+'NOT TO USE.'!G49</f>
        <v>32664</v>
      </c>
      <c r="G49" s="229">
        <f>+'NOT TO USE.'!H49</f>
        <v>19158</v>
      </c>
      <c r="H49" s="229">
        <f>+'NOT TO USE.'!J49</f>
        <v>18282</v>
      </c>
      <c r="J49" s="237">
        <f t="shared" si="9"/>
        <v>5586</v>
      </c>
      <c r="K49" s="286">
        <f>+J49/E49</f>
        <v>0.24063065391574051</v>
      </c>
      <c r="M49" s="237">
        <f t="shared" si="10"/>
        <v>-9450</v>
      </c>
      <c r="N49" s="286">
        <f>+M49/F49</f>
        <v>-0.28930933137398973</v>
      </c>
    </row>
    <row r="50" spans="1:14" x14ac:dyDescent="0.3">
      <c r="A50" s="1"/>
      <c r="B50" s="205"/>
      <c r="C50" s="3"/>
      <c r="D50" s="214"/>
      <c r="E50" s="254"/>
      <c r="F50" s="254"/>
      <c r="G50" s="230"/>
      <c r="H50" s="230"/>
      <c r="J50" s="246">
        <f t="shared" si="9"/>
        <v>0</v>
      </c>
      <c r="K50" s="288"/>
      <c r="M50" s="246">
        <f t="shared" si="10"/>
        <v>0</v>
      </c>
      <c r="N50" s="288"/>
    </row>
    <row r="51" spans="1:14" ht="15" thickBot="1" x14ac:dyDescent="0.35">
      <c r="A51" s="1"/>
      <c r="B51" s="210" t="s">
        <v>55</v>
      </c>
      <c r="C51" s="4"/>
      <c r="D51" s="223">
        <f>SUM(D44:D49)</f>
        <v>286800</v>
      </c>
      <c r="E51" s="259">
        <f>SUM(E44:E49)</f>
        <v>261620</v>
      </c>
      <c r="F51" s="259">
        <f>SUM(F44:F49)</f>
        <v>298464</v>
      </c>
      <c r="G51" s="259">
        <f>SUM(G44:G49)</f>
        <v>223391</v>
      </c>
      <c r="H51" s="259">
        <f>SUM(H44:H49)</f>
        <v>217952</v>
      </c>
      <c r="J51" s="241">
        <f t="shared" si="9"/>
        <v>25180</v>
      </c>
      <c r="K51" s="292">
        <f>+J51/E51</f>
        <v>9.6246464337588863E-2</v>
      </c>
      <c r="M51" s="241">
        <f t="shared" si="10"/>
        <v>-36844</v>
      </c>
      <c r="N51" s="292">
        <f>+M51/F51</f>
        <v>-0.12344537364640291</v>
      </c>
    </row>
    <row r="52" spans="1:14" ht="15" thickBot="1" x14ac:dyDescent="0.35">
      <c r="A52" s="1"/>
      <c r="B52" s="48"/>
      <c r="C52" s="49"/>
      <c r="D52" s="76"/>
      <c r="E52" s="232"/>
      <c r="F52" s="284"/>
      <c r="G52" s="284"/>
      <c r="H52" s="284"/>
      <c r="J52" s="76"/>
      <c r="K52" s="232"/>
      <c r="M52" s="76"/>
      <c r="N52" s="232"/>
    </row>
    <row r="53" spans="1:14" ht="15" thickBot="1" x14ac:dyDescent="0.35">
      <c r="A53" s="1"/>
      <c r="B53" s="208" t="s">
        <v>56</v>
      </c>
      <c r="C53" s="4"/>
      <c r="D53" s="9"/>
      <c r="E53" s="9"/>
      <c r="F53" s="9"/>
      <c r="G53" s="9"/>
      <c r="H53" s="9"/>
      <c r="J53" s="9"/>
      <c r="K53" s="296"/>
      <c r="M53" s="9"/>
      <c r="N53" s="296"/>
    </row>
    <row r="54" spans="1:14" x14ac:dyDescent="0.3">
      <c r="A54" s="1"/>
      <c r="B54" s="211" t="s">
        <v>57</v>
      </c>
      <c r="C54" s="3"/>
      <c r="D54" s="212">
        <f>+'NOT TO USE.'!D54</f>
        <v>1860</v>
      </c>
      <c r="E54" s="257">
        <f>+'NOT TO USE.'!E54</f>
        <v>2040</v>
      </c>
      <c r="F54" s="257">
        <f>+'NOT TO USE.'!G54</f>
        <v>1860</v>
      </c>
      <c r="G54" s="257">
        <f>+'NOT TO USE.'!H54</f>
        <v>2180</v>
      </c>
      <c r="H54" s="257">
        <f>+'NOT TO USE.'!J54</f>
        <v>1860</v>
      </c>
      <c r="J54" s="236">
        <f t="shared" ref="J54:J65" si="11">D54-E54</f>
        <v>-180</v>
      </c>
      <c r="K54" s="305">
        <f>+J54/E54</f>
        <v>-8.8235294117647065E-2</v>
      </c>
      <c r="M54" s="236">
        <f t="shared" ref="M54:M65" si="12">E54-F54</f>
        <v>180</v>
      </c>
      <c r="N54" s="305">
        <f>+M54/F54</f>
        <v>9.6774193548387094E-2</v>
      </c>
    </row>
    <row r="55" spans="1:14" x14ac:dyDescent="0.3">
      <c r="A55" s="1"/>
      <c r="B55" s="204" t="s">
        <v>58</v>
      </c>
      <c r="C55" s="3"/>
      <c r="D55" s="213">
        <f>+'NOT TO USE.'!D55</f>
        <v>30000</v>
      </c>
      <c r="E55" s="251">
        <f>+'NOT TO USE.'!E55</f>
        <v>20318</v>
      </c>
      <c r="F55" s="251">
        <f>+'NOT TO USE.'!G55</f>
        <v>30000</v>
      </c>
      <c r="G55" s="251">
        <f>+'NOT TO USE.'!H55</f>
        <v>40711</v>
      </c>
      <c r="H55" s="251">
        <f>+'NOT TO USE.'!J55</f>
        <v>26905</v>
      </c>
      <c r="J55" s="237">
        <f t="shared" si="11"/>
        <v>9682</v>
      </c>
      <c r="K55" s="286">
        <f>+J55/E55</f>
        <v>0.47652327985037896</v>
      </c>
      <c r="M55" s="237">
        <f t="shared" si="12"/>
        <v>-9682</v>
      </c>
      <c r="N55" s="286">
        <f>+M55/F55</f>
        <v>-0.32273333333333332</v>
      </c>
    </row>
    <row r="56" spans="1:14" x14ac:dyDescent="0.3">
      <c r="A56" s="1"/>
      <c r="B56" s="204" t="s">
        <v>59</v>
      </c>
      <c r="C56" s="3"/>
      <c r="D56" s="213">
        <f>+'NOT TO USE.'!D56</f>
        <v>42000</v>
      </c>
      <c r="E56" s="251">
        <f>+'NOT TO USE.'!E56</f>
        <v>25953</v>
      </c>
      <c r="F56" s="251">
        <f>+'NOT TO USE.'!G56</f>
        <v>49200</v>
      </c>
      <c r="G56" s="251">
        <f>+'NOT TO USE.'!H56</f>
        <v>25231</v>
      </c>
      <c r="H56" s="251">
        <f>+'NOT TO USE.'!J56</f>
        <v>114706</v>
      </c>
      <c r="J56" s="237">
        <f t="shared" si="11"/>
        <v>16047</v>
      </c>
      <c r="K56" s="286">
        <f>+J56/E56</f>
        <v>0.61831002196277884</v>
      </c>
      <c r="M56" s="237">
        <f t="shared" si="12"/>
        <v>-23247</v>
      </c>
      <c r="N56" s="286">
        <f>+M56/F56</f>
        <v>-0.47249999999999998</v>
      </c>
    </row>
    <row r="57" spans="1:14" x14ac:dyDescent="0.3">
      <c r="A57" s="1"/>
      <c r="B57" s="204" t="s">
        <v>60</v>
      </c>
      <c r="C57" s="3"/>
      <c r="D57" s="213">
        <f>+'NOT TO USE.'!D57</f>
        <v>0</v>
      </c>
      <c r="E57" s="251">
        <f>+'NOT TO USE.'!E57</f>
        <v>0</v>
      </c>
      <c r="F57" s="251">
        <f>+'NOT TO USE.'!G57</f>
        <v>0</v>
      </c>
      <c r="G57" s="251">
        <f>+'NOT TO USE.'!H57</f>
        <v>0</v>
      </c>
      <c r="H57" s="251">
        <f>+'NOT TO USE.'!J57</f>
        <v>0</v>
      </c>
      <c r="J57" s="237">
        <f t="shared" si="11"/>
        <v>0</v>
      </c>
      <c r="K57" s="286"/>
      <c r="M57" s="237">
        <f t="shared" si="12"/>
        <v>0</v>
      </c>
      <c r="N57" s="286"/>
    </row>
    <row r="58" spans="1:14" x14ac:dyDescent="0.3">
      <c r="A58" s="1"/>
      <c r="B58" s="204" t="s">
        <v>61</v>
      </c>
      <c r="C58" s="3"/>
      <c r="D58" s="260">
        <f>+'NOT TO USE.'!D58</f>
        <v>549.95999999999992</v>
      </c>
      <c r="E58" s="261">
        <f>+'NOT TO USE.'!E58</f>
        <v>0</v>
      </c>
      <c r="F58" s="261">
        <f>+'NOT TO USE.'!G58</f>
        <v>550</v>
      </c>
      <c r="G58" s="251">
        <f>+'NOT TO USE.'!H58</f>
        <v>85</v>
      </c>
      <c r="H58" s="251">
        <f>+'NOT TO USE.'!J58</f>
        <v>256</v>
      </c>
      <c r="J58" s="237">
        <f t="shared" si="11"/>
        <v>549.95999999999992</v>
      </c>
      <c r="K58" s="286" t="e">
        <f>+J58/E58</f>
        <v>#DIV/0!</v>
      </c>
      <c r="M58" s="237">
        <f t="shared" si="12"/>
        <v>-550</v>
      </c>
      <c r="N58" s="286">
        <f>+M58/F58</f>
        <v>-1</v>
      </c>
    </row>
    <row r="59" spans="1:14" x14ac:dyDescent="0.3">
      <c r="A59" s="1"/>
      <c r="B59" s="204" t="s">
        <v>62</v>
      </c>
      <c r="C59" s="3"/>
      <c r="D59" s="260">
        <f>+'NOT TO USE.'!D59</f>
        <v>21671.300000000003</v>
      </c>
      <c r="E59" s="261">
        <f>+'NOT TO USE.'!E59</f>
        <v>18673</v>
      </c>
      <c r="F59" s="261">
        <f>+'NOT TO USE.'!G59</f>
        <v>18260.5</v>
      </c>
      <c r="G59" s="251">
        <f>+'NOT TO USE.'!H59</f>
        <v>9563</v>
      </c>
      <c r="H59" s="251">
        <f>+'NOT TO USE.'!J59</f>
        <v>9543</v>
      </c>
      <c r="J59" s="237">
        <f t="shared" si="11"/>
        <v>2998.3000000000029</v>
      </c>
      <c r="K59" s="286">
        <f>+J59/E59</f>
        <v>0.16056873560756188</v>
      </c>
      <c r="M59" s="237">
        <f t="shared" si="12"/>
        <v>412.5</v>
      </c>
      <c r="N59" s="286">
        <f>+M59/F59</f>
        <v>2.2589742887653679E-2</v>
      </c>
    </row>
    <row r="60" spans="1:14" x14ac:dyDescent="0.3">
      <c r="A60" s="1"/>
      <c r="B60" s="204" t="s">
        <v>63</v>
      </c>
      <c r="C60" s="3"/>
      <c r="D60" s="260">
        <f>+'NOT TO USE.'!D60</f>
        <v>49440</v>
      </c>
      <c r="E60" s="261">
        <f>+'NOT TO USE.'!E60</f>
        <v>49466</v>
      </c>
      <c r="F60" s="261">
        <f>+'NOT TO USE.'!G60</f>
        <v>49440</v>
      </c>
      <c r="G60" s="251">
        <f>+'NOT TO USE.'!H60</f>
        <v>38131</v>
      </c>
      <c r="H60" s="251">
        <f>+'NOT TO USE.'!J60</f>
        <v>51627</v>
      </c>
      <c r="J60" s="237">
        <f t="shared" si="11"/>
        <v>-26</v>
      </c>
      <c r="K60" s="286">
        <f>+J60/E60</f>
        <v>-5.2561355274329848E-4</v>
      </c>
      <c r="M60" s="237">
        <f t="shared" si="12"/>
        <v>26</v>
      </c>
      <c r="N60" s="286">
        <f>+M60/F60</f>
        <v>5.2588996763754049E-4</v>
      </c>
    </row>
    <row r="61" spans="1:14" x14ac:dyDescent="0.3">
      <c r="A61" s="1"/>
      <c r="B61" s="204" t="s">
        <v>25</v>
      </c>
      <c r="C61" s="3"/>
      <c r="D61" s="260">
        <f>+'NOT TO USE.'!D61</f>
        <v>698304.60000000009</v>
      </c>
      <c r="E61" s="261">
        <f>+'NOT TO USE.'!E61</f>
        <v>665051</v>
      </c>
      <c r="F61" s="261">
        <f>+'NOT TO USE.'!G61</f>
        <v>655057</v>
      </c>
      <c r="G61" s="251">
        <f>+'NOT TO USE.'!H61</f>
        <v>645686</v>
      </c>
      <c r="H61" s="251">
        <f>+'NOT TO USE.'!J61</f>
        <v>626880</v>
      </c>
      <c r="J61" s="237">
        <f t="shared" si="11"/>
        <v>33253.600000000093</v>
      </c>
      <c r="K61" s="286">
        <f>+J61/E61</f>
        <v>5.0001578826285642E-2</v>
      </c>
      <c r="M61" s="237">
        <f t="shared" si="12"/>
        <v>9994</v>
      </c>
      <c r="N61" s="286">
        <f>+M61/F61</f>
        <v>1.5256687585965802E-2</v>
      </c>
    </row>
    <row r="62" spans="1:14" x14ac:dyDescent="0.3">
      <c r="A62" s="1"/>
      <c r="B62" s="204" t="s">
        <v>64</v>
      </c>
      <c r="C62" s="3"/>
      <c r="D62" s="260">
        <f>+'NOT TO USE.'!D62</f>
        <v>24000</v>
      </c>
      <c r="E62" s="261">
        <f>+'NOT TO USE.'!E62</f>
        <v>18540</v>
      </c>
      <c r="F62" s="261">
        <f>+'NOT TO USE.'!G62</f>
        <v>24000</v>
      </c>
      <c r="G62" s="251">
        <f>+'NOT TO USE.'!H62</f>
        <v>23332</v>
      </c>
      <c r="H62" s="251">
        <f>+'NOT TO USE.'!J62</f>
        <v>34168</v>
      </c>
      <c r="J62" s="237">
        <f t="shared" si="11"/>
        <v>5460</v>
      </c>
      <c r="K62" s="286">
        <f>+J62/E62</f>
        <v>0.29449838187702265</v>
      </c>
      <c r="M62" s="237">
        <f t="shared" si="12"/>
        <v>-5460</v>
      </c>
      <c r="N62" s="286">
        <f>+M62/F62</f>
        <v>-0.22750000000000001</v>
      </c>
    </row>
    <row r="63" spans="1:14" x14ac:dyDescent="0.3">
      <c r="A63" s="1"/>
      <c r="B63" s="204" t="s">
        <v>65</v>
      </c>
      <c r="C63" s="3"/>
      <c r="D63" s="260">
        <f>+'NOT TO USE.'!D63</f>
        <v>0</v>
      </c>
      <c r="E63" s="261">
        <f>+'NOT TO USE.'!E63</f>
        <v>0</v>
      </c>
      <c r="F63" s="261">
        <f>+'NOT TO USE.'!G63</f>
        <v>0</v>
      </c>
      <c r="G63" s="251">
        <f>+'NOT TO USE.'!H63</f>
        <v>0</v>
      </c>
      <c r="H63" s="251">
        <f>+'NOT TO USE.'!J63</f>
        <v>0</v>
      </c>
      <c r="J63" s="237">
        <f t="shared" si="11"/>
        <v>0</v>
      </c>
      <c r="K63" s="286"/>
      <c r="M63" s="237">
        <f t="shared" si="12"/>
        <v>0</v>
      </c>
      <c r="N63" s="286"/>
    </row>
    <row r="64" spans="1:14" x14ac:dyDescent="0.3">
      <c r="A64" s="1"/>
      <c r="B64" s="205" t="s">
        <v>66</v>
      </c>
      <c r="C64" s="3"/>
      <c r="D64" s="214">
        <f>+'NOT TO USE.'!D64</f>
        <v>5600.04</v>
      </c>
      <c r="E64" s="254">
        <f>+'NOT TO USE.'!E64</f>
        <v>-250</v>
      </c>
      <c r="F64" s="254">
        <f>+'NOT TO USE.'!G64</f>
        <v>5600</v>
      </c>
      <c r="G64" s="254">
        <f>+'NOT TO USE.'!H64</f>
        <v>2665</v>
      </c>
      <c r="H64" s="254">
        <f>+'NOT TO USE.'!J64</f>
        <v>4800</v>
      </c>
      <c r="J64" s="246">
        <f t="shared" si="11"/>
        <v>5850.04</v>
      </c>
      <c r="K64" s="288">
        <f>+J64/E64</f>
        <v>-23.40016</v>
      </c>
      <c r="M64" s="246">
        <f t="shared" si="12"/>
        <v>-5850</v>
      </c>
      <c r="N64" s="288">
        <f>+M64/F64</f>
        <v>-1.0446428571428572</v>
      </c>
    </row>
    <row r="65" spans="1:14" ht="15" thickBot="1" x14ac:dyDescent="0.35">
      <c r="A65" s="1"/>
      <c r="B65" s="210" t="s">
        <v>67</v>
      </c>
      <c r="C65" s="4"/>
      <c r="D65" s="223">
        <f>SUM(D54:D64)</f>
        <v>873425.90000000014</v>
      </c>
      <c r="E65" s="259">
        <f>SUM(E54:E64)</f>
        <v>799791</v>
      </c>
      <c r="F65" s="259">
        <f>SUM(F54:F64)</f>
        <v>833967.5</v>
      </c>
      <c r="G65" s="259">
        <f>SUM(G54:G64)</f>
        <v>787584</v>
      </c>
      <c r="H65" s="259">
        <f>SUM(H54:H64)</f>
        <v>870745</v>
      </c>
      <c r="J65" s="242">
        <f t="shared" si="11"/>
        <v>73634.90000000014</v>
      </c>
      <c r="K65" s="292">
        <f>+J65/E65</f>
        <v>9.2067677680794283E-2</v>
      </c>
      <c r="M65" s="242">
        <f t="shared" si="12"/>
        <v>-34176.5</v>
      </c>
      <c r="N65" s="292">
        <f>+M65/F65</f>
        <v>-4.098061375293402E-2</v>
      </c>
    </row>
    <row r="66" spans="1:14" ht="15" thickBot="1" x14ac:dyDescent="0.35">
      <c r="A66" s="1"/>
      <c r="B66" s="48"/>
      <c r="C66" s="49"/>
      <c r="D66" s="57"/>
      <c r="E66" s="232"/>
      <c r="F66" s="284"/>
      <c r="G66" s="284"/>
      <c r="H66" s="284"/>
      <c r="J66" s="57"/>
      <c r="K66" s="232"/>
      <c r="M66" s="57"/>
      <c r="N66" s="232"/>
    </row>
    <row r="67" spans="1:14" ht="15" thickBot="1" x14ac:dyDescent="0.35">
      <c r="A67" s="1"/>
      <c r="B67" s="208" t="s">
        <v>68</v>
      </c>
      <c r="C67" s="4"/>
      <c r="D67" s="120"/>
      <c r="E67" s="120"/>
      <c r="F67" s="120"/>
      <c r="G67" s="120"/>
      <c r="H67" s="120"/>
      <c r="J67" s="120"/>
      <c r="K67" s="296"/>
      <c r="M67" s="120"/>
      <c r="N67" s="296"/>
    </row>
    <row r="68" spans="1:14" ht="15" thickBot="1" x14ac:dyDescent="0.35">
      <c r="A68" s="1"/>
      <c r="B68" s="220" t="s">
        <v>69</v>
      </c>
      <c r="C68" s="29"/>
      <c r="D68" s="217">
        <f>D41-D51-D65</f>
        <v>1913392.0999999999</v>
      </c>
      <c r="E68" s="218">
        <f>E41-E51-E65</f>
        <v>1669504.3599999999</v>
      </c>
      <c r="F68" s="218">
        <f>F41-F51-F65</f>
        <v>1695043.8099999996</v>
      </c>
      <c r="G68" s="219">
        <f>J41-J51-J65</f>
        <v>243887.74</v>
      </c>
      <c r="H68" s="219">
        <f>K41-K51-K65</f>
        <v>-6.2824115846352641E-2</v>
      </c>
      <c r="J68" s="243">
        <f>D68-E68</f>
        <v>243887.74</v>
      </c>
      <c r="K68" s="307">
        <f>+J68/E68</f>
        <v>0.14608391918185826</v>
      </c>
      <c r="M68" s="243">
        <f>E68-F68</f>
        <v>-25539.449999999721</v>
      </c>
      <c r="N68" s="307">
        <f>+M68/F68</f>
        <v>-1.506713268962631E-2</v>
      </c>
    </row>
    <row r="69" spans="1:14" x14ac:dyDescent="0.3">
      <c r="A69" s="1"/>
      <c r="B69" s="2"/>
      <c r="C69" s="4"/>
      <c r="D69" s="100"/>
      <c r="E69" s="233"/>
      <c r="F69" s="233"/>
      <c r="G69" s="233"/>
      <c r="H69" s="233"/>
      <c r="J69" s="100"/>
      <c r="K69" s="233"/>
      <c r="M69" s="100"/>
      <c r="N69" s="233"/>
    </row>
    <row r="70" spans="1:14" ht="15" thickBot="1" x14ac:dyDescent="0.35">
      <c r="A70" s="1"/>
      <c r="B70" s="48"/>
      <c r="C70" s="49"/>
      <c r="D70" s="76"/>
      <c r="E70" s="76"/>
      <c r="F70" s="76"/>
      <c r="G70" s="76"/>
      <c r="H70" s="76"/>
      <c r="J70" s="76"/>
      <c r="K70" s="232"/>
      <c r="M70" s="76"/>
      <c r="N70" s="232"/>
    </row>
    <row r="71" spans="1:14" ht="15" thickBot="1" x14ac:dyDescent="0.35">
      <c r="A71" s="1"/>
      <c r="B71" s="208" t="s">
        <v>70</v>
      </c>
      <c r="C71" s="4"/>
      <c r="D71" s="101"/>
      <c r="E71" s="101"/>
      <c r="F71" s="101"/>
      <c r="G71" s="101"/>
      <c r="H71" s="101"/>
      <c r="J71" s="101"/>
      <c r="K71" s="297"/>
      <c r="M71" s="101"/>
      <c r="N71" s="297"/>
    </row>
    <row r="72" spans="1:14" ht="15" thickBot="1" x14ac:dyDescent="0.35">
      <c r="A72" s="1"/>
      <c r="B72" s="48"/>
      <c r="C72" s="49"/>
      <c r="D72" s="103"/>
      <c r="E72" s="103"/>
      <c r="F72" s="103"/>
      <c r="G72" s="103"/>
      <c r="H72" s="103"/>
      <c r="J72" s="103"/>
      <c r="K72" s="295"/>
      <c r="M72" s="103"/>
      <c r="N72" s="295"/>
    </row>
    <row r="73" spans="1:14" ht="15" thickBot="1" x14ac:dyDescent="0.35">
      <c r="A73" s="1"/>
      <c r="B73" s="208" t="s">
        <v>48</v>
      </c>
      <c r="C73" s="4"/>
      <c r="D73" s="224" t="str">
        <f>D3</f>
        <v>BUDGET 2022</v>
      </c>
      <c r="E73" s="224" t="str">
        <f t="shared" ref="E73:H73" si="13">E3</f>
        <v>ACTUAL 2021</v>
      </c>
      <c r="F73" s="224" t="str">
        <f t="shared" si="13"/>
        <v>BUDGET 2021</v>
      </c>
      <c r="G73" s="224" t="str">
        <f t="shared" si="13"/>
        <v>ACTUAL 2020</v>
      </c>
      <c r="H73" s="224" t="str">
        <f t="shared" si="13"/>
        <v>ACTUAL 2019</v>
      </c>
      <c r="J73" s="235" t="str">
        <f>+J$3</f>
        <v>B 2022 vs Act 2021</v>
      </c>
      <c r="K73" s="311" t="str">
        <f>+K$3</f>
        <v>%</v>
      </c>
      <c r="M73" s="235" t="str">
        <f>+M$3</f>
        <v>Act 2021 vs Bud 2021</v>
      </c>
      <c r="N73" s="311" t="str">
        <f>+N$3</f>
        <v>%</v>
      </c>
    </row>
    <row r="74" spans="1:14" x14ac:dyDescent="0.3">
      <c r="A74" s="1"/>
      <c r="B74" s="204" t="s">
        <v>18</v>
      </c>
      <c r="C74" s="3"/>
      <c r="D74" s="213">
        <f>+'NOT TO USE.'!D74</f>
        <v>211200</v>
      </c>
      <c r="E74" s="31">
        <f>+'NOT TO USE.'!E74</f>
        <v>182144.05000000002</v>
      </c>
      <c r="F74" s="31">
        <f>+'NOT TO USE.'!G74</f>
        <v>192000</v>
      </c>
      <c r="G74" s="194">
        <f>+'NOT TO USE.'!H74</f>
        <v>131734</v>
      </c>
      <c r="H74" s="194">
        <f>+'NOT TO USE.'!J74</f>
        <v>200345</v>
      </c>
      <c r="J74" s="237">
        <f t="shared" ref="J74:J83" si="14">D74-E74</f>
        <v>29055.949999999983</v>
      </c>
      <c r="K74" s="286">
        <f t="shared" ref="K74:K81" si="15">+J74/E74</f>
        <v>0.15952181803358376</v>
      </c>
      <c r="M74" s="237">
        <f t="shared" ref="M74:M83" si="16">E74-F74</f>
        <v>-9855.9499999999825</v>
      </c>
      <c r="N74" s="286">
        <f t="shared" ref="N74:N81" si="17">+M74/F74</f>
        <v>-5.1333072916666576E-2</v>
      </c>
    </row>
    <row r="75" spans="1:14" x14ac:dyDescent="0.3">
      <c r="A75" s="1"/>
      <c r="B75" s="204" t="s">
        <v>71</v>
      </c>
      <c r="C75" s="3"/>
      <c r="D75" s="213">
        <f>+'NOT TO USE.'!D75</f>
        <v>165300</v>
      </c>
      <c r="E75" s="31">
        <f>+'NOT TO USE.'!E75</f>
        <v>148912.44999999998</v>
      </c>
      <c r="F75" s="31">
        <f>+'NOT TO USE.'!G75</f>
        <v>162000</v>
      </c>
      <c r="G75" s="194">
        <f>+'NOT TO USE.'!H75</f>
        <v>97670</v>
      </c>
      <c r="H75" s="194">
        <f>+'NOT TO USE.'!J75</f>
        <v>150261</v>
      </c>
      <c r="J75" s="237">
        <f t="shared" si="14"/>
        <v>16387.550000000017</v>
      </c>
      <c r="K75" s="286">
        <f t="shared" si="15"/>
        <v>0.11004821960823302</v>
      </c>
      <c r="M75" s="237">
        <f t="shared" si="16"/>
        <v>-13087.550000000017</v>
      </c>
      <c r="N75" s="286">
        <f t="shared" si="17"/>
        <v>-8.0787345679012454E-2</v>
      </c>
    </row>
    <row r="76" spans="1:14" x14ac:dyDescent="0.3">
      <c r="A76" s="1"/>
      <c r="B76" s="204" t="s">
        <v>72</v>
      </c>
      <c r="C76" s="3"/>
      <c r="D76" s="213">
        <f>+'NOT TO USE.'!D76</f>
        <v>10014</v>
      </c>
      <c r="E76" s="31">
        <f>+'NOT TO USE.'!E76</f>
        <v>10008</v>
      </c>
      <c r="F76" s="31">
        <f>+'NOT TO USE.'!G76</f>
        <v>10014</v>
      </c>
      <c r="G76" s="194">
        <f>+'NOT TO USE.'!H76</f>
        <v>10008</v>
      </c>
      <c r="H76" s="194">
        <f>+'NOT TO USE.'!J76</f>
        <v>10008</v>
      </c>
      <c r="J76" s="237">
        <f t="shared" si="14"/>
        <v>6</v>
      </c>
      <c r="K76" s="286">
        <f t="shared" si="15"/>
        <v>5.9952038369304552E-4</v>
      </c>
      <c r="M76" s="237">
        <f t="shared" si="16"/>
        <v>-6</v>
      </c>
      <c r="N76" s="286">
        <f t="shared" si="17"/>
        <v>-5.9916117435590175E-4</v>
      </c>
    </row>
    <row r="77" spans="1:14" x14ac:dyDescent="0.3">
      <c r="A77" s="1"/>
      <c r="B77" s="204" t="s">
        <v>50</v>
      </c>
      <c r="C77" s="3"/>
      <c r="D77" s="213">
        <f>+'NOT TO USE.'!D77</f>
        <v>36000</v>
      </c>
      <c r="E77" s="31">
        <f>+'NOT TO USE.'!E77</f>
        <v>33366.69</v>
      </c>
      <c r="F77" s="31">
        <f>+'NOT TO USE.'!G77</f>
        <v>36000</v>
      </c>
      <c r="G77" s="194">
        <f>+'NOT TO USE.'!H77</f>
        <v>24376</v>
      </c>
      <c r="H77" s="194">
        <f>+'NOT TO USE.'!J77</f>
        <v>38921</v>
      </c>
      <c r="J77" s="237">
        <f t="shared" si="14"/>
        <v>2633.3099999999977</v>
      </c>
      <c r="K77" s="286">
        <f t="shared" si="15"/>
        <v>7.8920324431341476E-2</v>
      </c>
      <c r="M77" s="237">
        <f t="shared" si="16"/>
        <v>-2633.3099999999977</v>
      </c>
      <c r="N77" s="286">
        <f t="shared" si="17"/>
        <v>-7.3147499999999935E-2</v>
      </c>
    </row>
    <row r="78" spans="1:14" x14ac:dyDescent="0.3">
      <c r="A78" s="1"/>
      <c r="B78" s="204" t="s">
        <v>73</v>
      </c>
      <c r="C78" s="3"/>
      <c r="D78" s="213">
        <f>+'NOT TO USE.'!D78</f>
        <v>25200</v>
      </c>
      <c r="E78" s="31">
        <f>+'NOT TO USE.'!E78</f>
        <v>23457.16</v>
      </c>
      <c r="F78" s="31">
        <f>+'NOT TO USE.'!G78</f>
        <v>16200</v>
      </c>
      <c r="G78" s="194">
        <f>+'NOT TO USE.'!H78</f>
        <v>16667</v>
      </c>
      <c r="H78" s="194">
        <f>+'NOT TO USE.'!J78</f>
        <v>21146</v>
      </c>
      <c r="J78" s="237">
        <f t="shared" si="14"/>
        <v>1742.8400000000001</v>
      </c>
      <c r="K78" s="286">
        <f t="shared" si="15"/>
        <v>7.4298849477089299E-2</v>
      </c>
      <c r="M78" s="237">
        <f t="shared" si="16"/>
        <v>7257.16</v>
      </c>
      <c r="N78" s="286">
        <f t="shared" si="17"/>
        <v>0.44797283950617284</v>
      </c>
    </row>
    <row r="79" spans="1:14" x14ac:dyDescent="0.3">
      <c r="A79" s="1"/>
      <c r="B79" s="204" t="s">
        <v>52</v>
      </c>
      <c r="C79" s="3"/>
      <c r="D79" s="213">
        <f>+'NOT TO USE.'!D79</f>
        <v>10240</v>
      </c>
      <c r="E79" s="31">
        <f>+'NOT TO USE.'!E79</f>
        <v>8392.91</v>
      </c>
      <c r="F79" s="31">
        <f>+'NOT TO USE.'!G79</f>
        <v>6240</v>
      </c>
      <c r="G79" s="194">
        <f>+'NOT TO USE.'!H79</f>
        <v>1694</v>
      </c>
      <c r="H79" s="194">
        <f>+'NOT TO USE.'!J79</f>
        <v>9944</v>
      </c>
      <c r="J79" s="237">
        <f t="shared" si="14"/>
        <v>1847.0900000000001</v>
      </c>
      <c r="K79" s="286">
        <f t="shared" si="15"/>
        <v>0.22007742249112647</v>
      </c>
      <c r="M79" s="237">
        <f t="shared" si="16"/>
        <v>2152.91</v>
      </c>
      <c r="N79" s="286">
        <f t="shared" si="17"/>
        <v>0.34501762820512816</v>
      </c>
    </row>
    <row r="80" spans="1:14" x14ac:dyDescent="0.3">
      <c r="A80" s="1"/>
      <c r="B80" s="204" t="s">
        <v>53</v>
      </c>
      <c r="C80" s="3"/>
      <c r="D80" s="213">
        <f>+'NOT TO USE.'!D80</f>
        <v>60000</v>
      </c>
      <c r="E80" s="31">
        <f>+'NOT TO USE.'!E80</f>
        <v>53206.06</v>
      </c>
      <c r="F80" s="31">
        <f>+'NOT TO USE.'!G80</f>
        <v>51600</v>
      </c>
      <c r="G80" s="194">
        <f>+'NOT TO USE.'!H80</f>
        <v>56229</v>
      </c>
      <c r="H80" s="194">
        <f>+'NOT TO USE.'!J80</f>
        <v>56976</v>
      </c>
      <c r="J80" s="237">
        <f t="shared" si="14"/>
        <v>6793.9400000000023</v>
      </c>
      <c r="K80" s="286">
        <f t="shared" si="15"/>
        <v>0.12769109383404828</v>
      </c>
      <c r="M80" s="237">
        <f t="shared" si="16"/>
        <v>1606.0599999999977</v>
      </c>
      <c r="N80" s="286">
        <f t="shared" si="17"/>
        <v>3.1125193798449566E-2</v>
      </c>
    </row>
    <row r="81" spans="1:14" x14ac:dyDescent="0.3">
      <c r="A81" s="1"/>
      <c r="B81" s="204" t="s">
        <v>54</v>
      </c>
      <c r="C81" s="3"/>
      <c r="D81" s="213">
        <f>+'NOT TO USE.'!D81</f>
        <v>38026.26</v>
      </c>
      <c r="E81" s="31">
        <f>+'NOT TO USE.'!E81</f>
        <v>33579.17</v>
      </c>
      <c r="F81" s="31">
        <f>+'NOT TO USE.'!G81</f>
        <v>42000</v>
      </c>
      <c r="G81" s="194">
        <f>+'NOT TO USE.'!H81</f>
        <v>23020</v>
      </c>
      <c r="H81" s="194">
        <f>+'NOT TO USE.'!J81</f>
        <v>34030</v>
      </c>
      <c r="J81" s="237">
        <f t="shared" si="14"/>
        <v>4447.0900000000038</v>
      </c>
      <c r="K81" s="286">
        <f t="shared" si="15"/>
        <v>0.13243597146683506</v>
      </c>
      <c r="M81" s="237">
        <f t="shared" si="16"/>
        <v>-8420.8300000000017</v>
      </c>
      <c r="N81" s="286">
        <f t="shared" si="17"/>
        <v>-0.20049595238095241</v>
      </c>
    </row>
    <row r="82" spans="1:14" x14ac:dyDescent="0.3">
      <c r="A82" s="1"/>
      <c r="B82" s="205"/>
      <c r="C82" s="3"/>
      <c r="D82" s="214"/>
      <c r="E82" s="34"/>
      <c r="F82" s="34"/>
      <c r="G82" s="195"/>
      <c r="H82" s="195"/>
      <c r="J82" s="246">
        <f t="shared" si="14"/>
        <v>0</v>
      </c>
      <c r="K82" s="288"/>
      <c r="M82" s="246">
        <f t="shared" si="16"/>
        <v>0</v>
      </c>
      <c r="N82" s="288"/>
    </row>
    <row r="83" spans="1:14" ht="15" thickBot="1" x14ac:dyDescent="0.35">
      <c r="A83" s="1"/>
      <c r="B83" s="210" t="s">
        <v>55</v>
      </c>
      <c r="C83" s="4"/>
      <c r="D83" s="215">
        <f>SUM(D74:D82)</f>
        <v>555980.26</v>
      </c>
      <c r="E83" s="216">
        <f>SUM(E74:E82)</f>
        <v>493066.48999999993</v>
      </c>
      <c r="F83" s="216">
        <f>SUM(F74:F82)</f>
        <v>516054</v>
      </c>
      <c r="G83" s="216">
        <f>SUM(G74:G82)</f>
        <v>361398</v>
      </c>
      <c r="H83" s="216">
        <f>SUM(H74:H82)</f>
        <v>521631</v>
      </c>
      <c r="J83" s="241">
        <f t="shared" si="14"/>
        <v>62913.770000000077</v>
      </c>
      <c r="K83" s="292">
        <f>+J83/E83</f>
        <v>0.12759692916872142</v>
      </c>
      <c r="M83" s="241">
        <f t="shared" si="16"/>
        <v>-22987.510000000068</v>
      </c>
      <c r="N83" s="292">
        <f>+M83/F83</f>
        <v>-4.4544776321857923E-2</v>
      </c>
    </row>
    <row r="84" spans="1:14" ht="15" thickBot="1" x14ac:dyDescent="0.35">
      <c r="A84" s="1"/>
      <c r="B84" s="48"/>
      <c r="C84" s="49"/>
      <c r="D84" s="76"/>
      <c r="E84" s="232"/>
      <c r="F84" s="284"/>
      <c r="G84" s="284"/>
      <c r="H84" s="284"/>
      <c r="J84" s="76"/>
      <c r="K84" s="232"/>
      <c r="M84" s="76"/>
      <c r="N84" s="232"/>
    </row>
    <row r="85" spans="1:14" ht="15" thickBot="1" x14ac:dyDescent="0.35">
      <c r="A85" s="1"/>
      <c r="B85" s="208" t="s">
        <v>56</v>
      </c>
      <c r="C85" s="4"/>
      <c r="D85" s="9"/>
      <c r="E85" s="9"/>
      <c r="F85" s="9"/>
      <c r="G85" s="9"/>
      <c r="H85" s="9"/>
      <c r="J85" s="9"/>
      <c r="K85" s="296"/>
      <c r="M85" s="9"/>
      <c r="N85" s="296"/>
    </row>
    <row r="86" spans="1:14" x14ac:dyDescent="0.3">
      <c r="A86" s="1"/>
      <c r="B86" s="211" t="s">
        <v>74</v>
      </c>
      <c r="C86" s="3"/>
      <c r="D86" s="212">
        <f>+'NOT TO USE.'!D86</f>
        <v>8400</v>
      </c>
      <c r="E86" s="257">
        <f>+'NOT TO USE.'!E86</f>
        <v>9012.02</v>
      </c>
      <c r="F86" s="257">
        <f>+'NOT TO USE.'!G86</f>
        <v>12800</v>
      </c>
      <c r="G86" s="258">
        <f>+'NOT TO USE.'!H86</f>
        <v>3053</v>
      </c>
      <c r="H86" s="258">
        <f>+'NOT TO USE.'!J86</f>
        <v>9416</v>
      </c>
      <c r="J86" s="236">
        <f t="shared" ref="J86:J103" si="18">D86-E86</f>
        <v>-612.02000000000044</v>
      </c>
      <c r="K86" s="305">
        <f t="shared" ref="K86:K103" si="19">+J86/E86</f>
        <v>-6.791152261091303E-2</v>
      </c>
      <c r="M86" s="236">
        <f t="shared" ref="M86:M103" si="20">E86-F86</f>
        <v>-3787.9799999999996</v>
      </c>
      <c r="N86" s="305">
        <f t="shared" ref="N86:N103" si="21">+M86/F86</f>
        <v>-0.29593593749999997</v>
      </c>
    </row>
    <row r="87" spans="1:14" x14ac:dyDescent="0.3">
      <c r="A87" s="1"/>
      <c r="B87" s="204" t="s">
        <v>75</v>
      </c>
      <c r="C87" s="3"/>
      <c r="D87" s="213">
        <f>+'NOT TO USE.'!D87</f>
        <v>12000</v>
      </c>
      <c r="E87" s="251">
        <f>+'NOT TO USE.'!E87</f>
        <v>6482.7699999999995</v>
      </c>
      <c r="F87" s="251">
        <f>+'NOT TO USE.'!G87</f>
        <v>6250</v>
      </c>
      <c r="G87" s="229">
        <f>+'NOT TO USE.'!H87</f>
        <v>21735</v>
      </c>
      <c r="H87" s="229">
        <f>+'NOT TO USE.'!J87</f>
        <v>12163</v>
      </c>
      <c r="J87" s="237">
        <f t="shared" si="18"/>
        <v>5517.2300000000005</v>
      </c>
      <c r="K87" s="286">
        <f t="shared" si="19"/>
        <v>0.85106058058515122</v>
      </c>
      <c r="M87" s="237">
        <f t="shared" si="20"/>
        <v>232.76999999999953</v>
      </c>
      <c r="N87" s="286">
        <f t="shared" si="21"/>
        <v>3.7243199999999928E-2</v>
      </c>
    </row>
    <row r="88" spans="1:14" x14ac:dyDescent="0.3">
      <c r="A88" s="1"/>
      <c r="B88" s="204" t="s">
        <v>76</v>
      </c>
      <c r="C88" s="3"/>
      <c r="D88" s="213">
        <f>+'NOT TO USE.'!D88</f>
        <v>212500</v>
      </c>
      <c r="E88" s="251">
        <f>+'NOT TO USE.'!E88</f>
        <v>131870.87</v>
      </c>
      <c r="F88" s="251">
        <f>+'NOT TO USE.'!G88</f>
        <v>236270.82999999996</v>
      </c>
      <c r="G88" s="229">
        <f>+'NOT TO USE.'!H88</f>
        <v>69872</v>
      </c>
      <c r="H88" s="229">
        <f>+'NOT TO USE.'!J88</f>
        <v>212722</v>
      </c>
      <c r="J88" s="237">
        <f t="shared" si="18"/>
        <v>80629.13</v>
      </c>
      <c r="K88" s="286">
        <f t="shared" si="19"/>
        <v>0.61142487343869045</v>
      </c>
      <c r="M88" s="237">
        <f t="shared" si="20"/>
        <v>-104399.95999999996</v>
      </c>
      <c r="N88" s="286">
        <f t="shared" si="21"/>
        <v>-0.44186563360360642</v>
      </c>
    </row>
    <row r="89" spans="1:14" x14ac:dyDescent="0.3">
      <c r="A89" s="1"/>
      <c r="B89" s="204" t="s">
        <v>77</v>
      </c>
      <c r="C89" s="3"/>
      <c r="D89" s="213">
        <f>+'NOT TO USE.'!D89</f>
        <v>51</v>
      </c>
      <c r="E89" s="251">
        <f>+'NOT TO USE.'!E89</f>
        <v>0</v>
      </c>
      <c r="F89" s="251">
        <f>+'NOT TO USE.'!G89</f>
        <v>0</v>
      </c>
      <c r="G89" s="229">
        <f>+'NOT TO USE.'!H89</f>
        <v>0</v>
      </c>
      <c r="H89" s="229">
        <f>+'NOT TO USE.'!J89</f>
        <v>0</v>
      </c>
      <c r="J89" s="237">
        <f t="shared" si="18"/>
        <v>51</v>
      </c>
      <c r="K89" s="286" t="e">
        <f t="shared" si="19"/>
        <v>#DIV/0!</v>
      </c>
      <c r="M89" s="237">
        <f t="shared" si="20"/>
        <v>0</v>
      </c>
      <c r="N89" s="286" t="e">
        <f t="shared" si="21"/>
        <v>#DIV/0!</v>
      </c>
    </row>
    <row r="90" spans="1:14" x14ac:dyDescent="0.3">
      <c r="A90" s="1"/>
      <c r="B90" s="204" t="s">
        <v>78</v>
      </c>
      <c r="C90" s="3"/>
      <c r="D90" s="213">
        <f>+'NOT TO USE.'!D90</f>
        <v>850</v>
      </c>
      <c r="E90" s="251">
        <f>+'NOT TO USE.'!E90</f>
        <v>85.32</v>
      </c>
      <c r="F90" s="251">
        <f>+'NOT TO USE.'!G90</f>
        <v>1740</v>
      </c>
      <c r="G90" s="229">
        <f>+'NOT TO USE.'!H90</f>
        <v>229</v>
      </c>
      <c r="H90" s="229">
        <f>+'NOT TO USE.'!J90</f>
        <v>2891</v>
      </c>
      <c r="J90" s="237">
        <f t="shared" si="18"/>
        <v>764.68000000000006</v>
      </c>
      <c r="K90" s="286">
        <f t="shared" si="19"/>
        <v>8.9624941397093316</v>
      </c>
      <c r="M90" s="237">
        <f t="shared" si="20"/>
        <v>-1654.68</v>
      </c>
      <c r="N90" s="286">
        <f t="shared" si="21"/>
        <v>-0.95096551724137934</v>
      </c>
    </row>
    <row r="91" spans="1:14" x14ac:dyDescent="0.3">
      <c r="A91" s="1"/>
      <c r="B91" s="204" t="s">
        <v>79</v>
      </c>
      <c r="C91" s="3"/>
      <c r="D91" s="213">
        <f>+'NOT TO USE.'!D91</f>
        <v>8400</v>
      </c>
      <c r="E91" s="251">
        <f>+'NOT TO USE.'!E91</f>
        <v>6272.31</v>
      </c>
      <c r="F91" s="251">
        <f>+'NOT TO USE.'!G91</f>
        <v>10500</v>
      </c>
      <c r="G91" s="229">
        <f>+'NOT TO USE.'!H91</f>
        <v>4434</v>
      </c>
      <c r="H91" s="229">
        <f>+'NOT TO USE.'!J91</f>
        <v>8074</v>
      </c>
      <c r="J91" s="237">
        <f t="shared" si="18"/>
        <v>2127.6899999999996</v>
      </c>
      <c r="K91" s="286">
        <f t="shared" si="19"/>
        <v>0.33921952199428912</v>
      </c>
      <c r="M91" s="237">
        <f t="shared" si="20"/>
        <v>-4227.6899999999996</v>
      </c>
      <c r="N91" s="286">
        <f t="shared" si="21"/>
        <v>-0.4026371428571428</v>
      </c>
    </row>
    <row r="92" spans="1:14" x14ac:dyDescent="0.3">
      <c r="A92" s="1"/>
      <c r="B92" s="204" t="s">
        <v>80</v>
      </c>
      <c r="C92" s="3"/>
      <c r="D92" s="213">
        <f>+'NOT TO USE.'!D92</f>
        <v>8400</v>
      </c>
      <c r="E92" s="251">
        <f>+'NOT TO USE.'!E92</f>
        <v>8584.42</v>
      </c>
      <c r="F92" s="251">
        <f>+'NOT TO USE.'!G92</f>
        <v>8004</v>
      </c>
      <c r="G92" s="229">
        <f>+'NOT TO USE.'!H92</f>
        <v>3190</v>
      </c>
      <c r="H92" s="229">
        <f>+'NOT TO USE.'!J92</f>
        <v>5189</v>
      </c>
      <c r="J92" s="237">
        <f t="shared" si="18"/>
        <v>-184.42000000000007</v>
      </c>
      <c r="K92" s="286">
        <f t="shared" si="19"/>
        <v>-2.1483105439855002E-2</v>
      </c>
      <c r="M92" s="237">
        <f t="shared" si="20"/>
        <v>580.42000000000007</v>
      </c>
      <c r="N92" s="286">
        <f t="shared" si="21"/>
        <v>7.2516241879060472E-2</v>
      </c>
    </row>
    <row r="93" spans="1:14" x14ac:dyDescent="0.3">
      <c r="A93" s="1"/>
      <c r="B93" s="204" t="s">
        <v>81</v>
      </c>
      <c r="C93" s="3"/>
      <c r="D93" s="213">
        <f>+'NOT TO USE.'!D93</f>
        <v>24000</v>
      </c>
      <c r="E93" s="251">
        <f>+'NOT TO USE.'!E93</f>
        <v>34979.080000000009</v>
      </c>
      <c r="F93" s="251">
        <f>+'NOT TO USE.'!G93</f>
        <v>18571.669999999998</v>
      </c>
      <c r="G93" s="229">
        <f>+'NOT TO USE.'!H93</f>
        <v>5206</v>
      </c>
      <c r="H93" s="229">
        <f>+'NOT TO USE.'!J93</f>
        <v>16308</v>
      </c>
      <c r="J93" s="237">
        <f t="shared" si="18"/>
        <v>-10979.080000000009</v>
      </c>
      <c r="K93" s="286">
        <f t="shared" si="19"/>
        <v>-0.31387560793480007</v>
      </c>
      <c r="M93" s="237">
        <f t="shared" si="20"/>
        <v>16407.410000000011</v>
      </c>
      <c r="N93" s="286">
        <f t="shared" si="21"/>
        <v>0.88346443803922925</v>
      </c>
    </row>
    <row r="94" spans="1:14" x14ac:dyDescent="0.3">
      <c r="A94" s="1"/>
      <c r="B94" s="204" t="s">
        <v>82</v>
      </c>
      <c r="C94" s="3"/>
      <c r="D94" s="213">
        <f>+'NOT TO USE.'!D94</f>
        <v>6000</v>
      </c>
      <c r="E94" s="251">
        <f>+'NOT TO USE.'!E94</f>
        <v>2427.56</v>
      </c>
      <c r="F94" s="251">
        <f>+'NOT TO USE.'!G94</f>
        <v>1800</v>
      </c>
      <c r="G94" s="229">
        <f>+'NOT TO USE.'!H94</f>
        <v>151</v>
      </c>
      <c r="H94" s="229">
        <f>+'NOT TO USE.'!J94</f>
        <v>5672</v>
      </c>
      <c r="J94" s="237">
        <f t="shared" si="18"/>
        <v>3572.44</v>
      </c>
      <c r="K94" s="286">
        <f t="shared" si="19"/>
        <v>1.4716175913262701</v>
      </c>
      <c r="M94" s="237">
        <f t="shared" si="20"/>
        <v>627.55999999999995</v>
      </c>
      <c r="N94" s="286">
        <f t="shared" si="21"/>
        <v>0.34864444444444442</v>
      </c>
    </row>
    <row r="95" spans="1:14" x14ac:dyDescent="0.3">
      <c r="A95" s="1"/>
      <c r="B95" s="204" t="s">
        <v>83</v>
      </c>
      <c r="C95" s="3"/>
      <c r="D95" s="213">
        <f>+'NOT TO USE.'!D95</f>
        <v>5500</v>
      </c>
      <c r="E95" s="251">
        <f>+'NOT TO USE.'!E95</f>
        <v>5416.24</v>
      </c>
      <c r="F95" s="251">
        <f>+'NOT TO USE.'!G95</f>
        <v>0</v>
      </c>
      <c r="G95" s="229">
        <f>+'NOT TO USE.'!H95</f>
        <v>226</v>
      </c>
      <c r="H95" s="229">
        <f>+'NOT TO USE.'!J95</f>
        <v>0</v>
      </c>
      <c r="J95" s="237">
        <f t="shared" si="18"/>
        <v>83.760000000000218</v>
      </c>
      <c r="K95" s="286">
        <f t="shared" si="19"/>
        <v>1.5464602750247445E-2</v>
      </c>
      <c r="M95" s="237">
        <f t="shared" si="20"/>
        <v>5416.24</v>
      </c>
      <c r="N95" s="286" t="e">
        <f t="shared" si="21"/>
        <v>#DIV/0!</v>
      </c>
    </row>
    <row r="96" spans="1:14" x14ac:dyDescent="0.3">
      <c r="A96" s="1"/>
      <c r="B96" s="204" t="s">
        <v>84</v>
      </c>
      <c r="C96" s="3"/>
      <c r="D96" s="213">
        <f>+'NOT TO USE.'!D96</f>
        <v>36000</v>
      </c>
      <c r="E96" s="251">
        <f>+'NOT TO USE.'!E96</f>
        <v>7665</v>
      </c>
      <c r="F96" s="251">
        <f>+'NOT TO USE.'!G96</f>
        <v>11250</v>
      </c>
      <c r="G96" s="229">
        <f>+'NOT TO USE.'!H96</f>
        <v>3700</v>
      </c>
      <c r="H96" s="229">
        <f>+'NOT TO USE.'!J96</f>
        <v>39600</v>
      </c>
      <c r="J96" s="237">
        <f t="shared" si="18"/>
        <v>28335</v>
      </c>
      <c r="K96" s="286">
        <f t="shared" si="19"/>
        <v>3.6966731898238749</v>
      </c>
      <c r="M96" s="237">
        <f t="shared" si="20"/>
        <v>-3585</v>
      </c>
      <c r="N96" s="286">
        <f t="shared" si="21"/>
        <v>-0.31866666666666665</v>
      </c>
    </row>
    <row r="97" spans="1:14" x14ac:dyDescent="0.3">
      <c r="A97" s="1"/>
      <c r="B97" s="204" t="s">
        <v>85</v>
      </c>
      <c r="C97" s="3"/>
      <c r="D97" s="213">
        <f>+'NOT TO USE.'!D97</f>
        <v>26280</v>
      </c>
      <c r="E97" s="251">
        <f>+'NOT TO USE.'!E97</f>
        <v>17462</v>
      </c>
      <c r="F97" s="251">
        <f>+'NOT TO USE.'!G97</f>
        <v>25590</v>
      </c>
      <c r="G97" s="229">
        <f>+'NOT TO USE.'!H97</f>
        <v>13625</v>
      </c>
      <c r="H97" s="229">
        <f>+'NOT TO USE.'!J97</f>
        <v>26040</v>
      </c>
      <c r="J97" s="237">
        <f t="shared" si="18"/>
        <v>8818</v>
      </c>
      <c r="K97" s="286">
        <f t="shared" si="19"/>
        <v>0.50498224716527318</v>
      </c>
      <c r="M97" s="237">
        <f t="shared" si="20"/>
        <v>-8128</v>
      </c>
      <c r="N97" s="286">
        <f t="shared" si="21"/>
        <v>-0.31762407190308717</v>
      </c>
    </row>
    <row r="98" spans="1:14" x14ac:dyDescent="0.3">
      <c r="A98" s="1"/>
      <c r="B98" s="204" t="s">
        <v>61</v>
      </c>
      <c r="C98" s="3"/>
      <c r="D98" s="213">
        <f>+'NOT TO USE.'!D98</f>
        <v>1440</v>
      </c>
      <c r="E98" s="251">
        <f>+'NOT TO USE.'!E98</f>
        <v>790.07000000000016</v>
      </c>
      <c r="F98" s="251">
        <f>+'NOT TO USE.'!G98</f>
        <v>1270</v>
      </c>
      <c r="G98" s="229">
        <f>+'NOT TO USE.'!H98</f>
        <v>384</v>
      </c>
      <c r="H98" s="229">
        <f>+'NOT TO USE.'!J98</f>
        <v>1290</v>
      </c>
      <c r="J98" s="237">
        <f t="shared" si="18"/>
        <v>649.92999999999984</v>
      </c>
      <c r="K98" s="286">
        <f t="shared" si="19"/>
        <v>0.82262331185844251</v>
      </c>
      <c r="M98" s="237">
        <f t="shared" si="20"/>
        <v>-479.92999999999984</v>
      </c>
      <c r="N98" s="286">
        <f t="shared" si="21"/>
        <v>-0.37789763779527547</v>
      </c>
    </row>
    <row r="99" spans="1:14" x14ac:dyDescent="0.3">
      <c r="A99" s="1"/>
      <c r="B99" s="204" t="s">
        <v>86</v>
      </c>
      <c r="C99" s="3"/>
      <c r="D99" s="213">
        <f>+'NOT TO USE.'!D99</f>
        <v>9500</v>
      </c>
      <c r="E99" s="251">
        <f>+'NOT TO USE.'!E99</f>
        <v>5553.0499999999993</v>
      </c>
      <c r="F99" s="251">
        <f>+'NOT TO USE.'!G99</f>
        <v>15304.169999999998</v>
      </c>
      <c r="G99" s="229">
        <f>+'NOT TO USE.'!H99</f>
        <v>4788</v>
      </c>
      <c r="H99" s="229">
        <f>+'NOT TO USE.'!J99</f>
        <v>17318</v>
      </c>
      <c r="J99" s="237">
        <f t="shared" si="18"/>
        <v>3946.9500000000007</v>
      </c>
      <c r="K99" s="286">
        <f t="shared" si="19"/>
        <v>0.71077155797264591</v>
      </c>
      <c r="M99" s="237">
        <f t="shared" si="20"/>
        <v>-9751.119999999999</v>
      </c>
      <c r="N99" s="286">
        <f t="shared" si="21"/>
        <v>-0.63715444875481653</v>
      </c>
    </row>
    <row r="100" spans="1:14" x14ac:dyDescent="0.3">
      <c r="A100" s="1"/>
      <c r="B100" s="204" t="s">
        <v>87</v>
      </c>
      <c r="C100" s="3"/>
      <c r="D100" s="213">
        <f>+'NOT TO USE.'!D100</f>
        <v>60000</v>
      </c>
      <c r="E100" s="251">
        <f>+'NOT TO USE.'!E100</f>
        <v>33101.449999999997</v>
      </c>
      <c r="F100" s="251">
        <f>+'NOT TO USE.'!G100</f>
        <v>56200</v>
      </c>
      <c r="G100" s="229">
        <f>+'NOT TO USE.'!H100</f>
        <v>25404</v>
      </c>
      <c r="H100" s="229">
        <f>+'NOT TO USE.'!J100</f>
        <v>54478</v>
      </c>
      <c r="J100" s="237">
        <f t="shared" si="18"/>
        <v>26898.550000000003</v>
      </c>
      <c r="K100" s="286">
        <f t="shared" si="19"/>
        <v>0.81260941741222836</v>
      </c>
      <c r="M100" s="237">
        <f t="shared" si="20"/>
        <v>-23098.550000000003</v>
      </c>
      <c r="N100" s="286">
        <f t="shared" si="21"/>
        <v>-0.41100622775800716</v>
      </c>
    </row>
    <row r="101" spans="1:14" x14ac:dyDescent="0.3">
      <c r="A101" s="1"/>
      <c r="B101" s="204" t="s">
        <v>64</v>
      </c>
      <c r="C101" s="3"/>
      <c r="D101" s="213">
        <f>+'NOT TO USE.'!D101</f>
        <v>4500</v>
      </c>
      <c r="E101" s="251">
        <f>+'NOT TO USE.'!E101</f>
        <v>4627.53</v>
      </c>
      <c r="F101" s="251">
        <f>+'NOT TO USE.'!G101</f>
        <v>2350</v>
      </c>
      <c r="G101" s="229">
        <f>+'NOT TO USE.'!H101</f>
        <v>7420</v>
      </c>
      <c r="H101" s="229">
        <f>+'NOT TO USE.'!J101</f>
        <v>2585</v>
      </c>
      <c r="J101" s="237">
        <f t="shared" si="18"/>
        <v>-127.52999999999975</v>
      </c>
      <c r="K101" s="286">
        <f t="shared" si="19"/>
        <v>-2.7558978547951012E-2</v>
      </c>
      <c r="M101" s="237">
        <f t="shared" si="20"/>
        <v>2277.5299999999997</v>
      </c>
      <c r="N101" s="286">
        <f t="shared" si="21"/>
        <v>0.96916170212765951</v>
      </c>
    </row>
    <row r="102" spans="1:14" x14ac:dyDescent="0.3">
      <c r="A102" s="1"/>
      <c r="B102" s="205" t="s">
        <v>88</v>
      </c>
      <c r="C102" s="3"/>
      <c r="D102" s="214">
        <f>+'NOT TO USE.'!D102</f>
        <v>191000.01999999996</v>
      </c>
      <c r="E102" s="254">
        <f>+'NOT TO USE.'!E102</f>
        <v>150312.97</v>
      </c>
      <c r="F102" s="254">
        <f>+'NOT TO USE.'!G102</f>
        <v>175166.66999999998</v>
      </c>
      <c r="G102" s="230">
        <f>+'NOT TO USE.'!H102</f>
        <v>119993</v>
      </c>
      <c r="H102" s="230">
        <f>+'NOT TO USE.'!J102</f>
        <v>164613</v>
      </c>
      <c r="J102" s="246">
        <f t="shared" si="18"/>
        <v>40687.049999999959</v>
      </c>
      <c r="K102" s="288">
        <f t="shared" si="19"/>
        <v>0.27068223054870089</v>
      </c>
      <c r="M102" s="246">
        <f t="shared" si="20"/>
        <v>-24853.699999999983</v>
      </c>
      <c r="N102" s="288">
        <f t="shared" si="21"/>
        <v>-0.14188601062062769</v>
      </c>
    </row>
    <row r="103" spans="1:14" ht="15" thickBot="1" x14ac:dyDescent="0.35">
      <c r="A103" s="1"/>
      <c r="B103" s="210" t="s">
        <v>67</v>
      </c>
      <c r="C103" s="4"/>
      <c r="D103" s="223">
        <f>SUM(D86:D102)</f>
        <v>614821.02</v>
      </c>
      <c r="E103" s="259">
        <f>SUM(E86:E102)</f>
        <v>424642.66000000003</v>
      </c>
      <c r="F103" s="259">
        <f>SUM(F86:F102)</f>
        <v>583067.33999999985</v>
      </c>
      <c r="G103" s="259">
        <f>SUM(G86:G102)</f>
        <v>283410</v>
      </c>
      <c r="H103" s="259">
        <f>SUM(H86:H102)</f>
        <v>578359</v>
      </c>
      <c r="J103" s="241">
        <f t="shared" si="18"/>
        <v>190178.36</v>
      </c>
      <c r="K103" s="292">
        <f t="shared" si="19"/>
        <v>0.44785505064422865</v>
      </c>
      <c r="M103" s="241">
        <f t="shared" si="20"/>
        <v>-158424.67999999982</v>
      </c>
      <c r="N103" s="292">
        <f t="shared" si="21"/>
        <v>-0.2717090619412843</v>
      </c>
    </row>
    <row r="104" spans="1:14" ht="15" thickBot="1" x14ac:dyDescent="0.35">
      <c r="A104" s="1"/>
      <c r="B104" s="48"/>
      <c r="C104" s="49"/>
      <c r="D104" s="76"/>
      <c r="E104" s="232"/>
      <c r="F104" s="284"/>
      <c r="G104" s="284"/>
      <c r="H104" s="284"/>
      <c r="J104" s="76"/>
      <c r="K104" s="232"/>
      <c r="M104" s="76"/>
      <c r="N104" s="232"/>
    </row>
    <row r="105" spans="1:14" ht="15" thickBot="1" x14ac:dyDescent="0.35">
      <c r="A105" s="1"/>
      <c r="B105" s="208" t="s">
        <v>68</v>
      </c>
      <c r="C105" s="4"/>
      <c r="D105" s="9"/>
      <c r="E105" s="9"/>
      <c r="F105" s="9"/>
      <c r="G105" s="9"/>
      <c r="H105" s="9"/>
      <c r="J105" s="9"/>
      <c r="K105" s="296"/>
      <c r="M105" s="9"/>
      <c r="N105" s="296"/>
    </row>
    <row r="106" spans="1:14" ht="15" thickBot="1" x14ac:dyDescent="0.35">
      <c r="A106" s="1"/>
      <c r="B106" s="220" t="s">
        <v>69</v>
      </c>
      <c r="C106" s="4"/>
      <c r="D106" s="217">
        <f>D83+D103</f>
        <v>1170801.28</v>
      </c>
      <c r="E106" s="218">
        <f>E83+E103</f>
        <v>917709.14999999991</v>
      </c>
      <c r="F106" s="218">
        <f>F83+F103</f>
        <v>1099121.3399999999</v>
      </c>
      <c r="G106" s="219">
        <f>G83+G103</f>
        <v>644808</v>
      </c>
      <c r="H106" s="219">
        <f>H83+H103</f>
        <v>1099990</v>
      </c>
      <c r="J106" s="244">
        <f>D106-E106</f>
        <v>253092.13000000012</v>
      </c>
      <c r="K106" s="307">
        <f>+J106/E106</f>
        <v>0.27578686558807891</v>
      </c>
      <c r="M106" s="244">
        <f>E106-F106</f>
        <v>-181412.18999999994</v>
      </c>
      <c r="N106" s="307">
        <f>+M106/F106</f>
        <v>-0.1650520132745307</v>
      </c>
    </row>
    <row r="107" spans="1:14" ht="15" thickBot="1" x14ac:dyDescent="0.35">
      <c r="A107" s="1"/>
      <c r="B107" s="48"/>
      <c r="C107" s="49"/>
      <c r="D107" s="76"/>
      <c r="E107" s="232"/>
      <c r="F107" s="284"/>
      <c r="G107" s="284"/>
      <c r="H107" s="284"/>
      <c r="J107" s="76"/>
      <c r="K107" s="232"/>
      <c r="M107" s="76"/>
      <c r="N107" s="232"/>
    </row>
    <row r="108" spans="1:14" ht="15" thickBot="1" x14ac:dyDescent="0.35">
      <c r="A108" s="1"/>
      <c r="B108" s="208" t="s">
        <v>89</v>
      </c>
      <c r="C108" s="4"/>
      <c r="D108" s="101"/>
      <c r="E108" s="101"/>
      <c r="F108" s="101"/>
      <c r="G108" s="101"/>
      <c r="H108" s="101"/>
      <c r="J108" s="101"/>
      <c r="K108" s="297"/>
      <c r="M108" s="101"/>
      <c r="N108" s="297"/>
    </row>
    <row r="109" spans="1:14" ht="15" thickBot="1" x14ac:dyDescent="0.35">
      <c r="A109" s="1"/>
      <c r="B109" s="48"/>
      <c r="C109" s="49"/>
      <c r="D109" s="103"/>
      <c r="E109" s="103"/>
      <c r="F109" s="103"/>
      <c r="G109" s="103"/>
      <c r="H109" s="103"/>
      <c r="J109" s="103"/>
      <c r="K109" s="295"/>
      <c r="M109" s="103"/>
      <c r="N109" s="295"/>
    </row>
    <row r="110" spans="1:14" ht="15" thickBot="1" x14ac:dyDescent="0.35">
      <c r="A110" s="1"/>
      <c r="B110" s="209" t="s">
        <v>48</v>
      </c>
      <c r="C110" s="4"/>
      <c r="D110" s="308" t="str">
        <f>D3</f>
        <v>BUDGET 2022</v>
      </c>
      <c r="E110" s="308" t="str">
        <f t="shared" ref="E110:H110" si="22">E3</f>
        <v>ACTUAL 2021</v>
      </c>
      <c r="F110" s="308" t="str">
        <f t="shared" si="22"/>
        <v>BUDGET 2021</v>
      </c>
      <c r="G110" s="308" t="str">
        <f t="shared" si="22"/>
        <v>ACTUAL 2020</v>
      </c>
      <c r="H110" s="308" t="str">
        <f t="shared" si="22"/>
        <v>ACTUAL 2019</v>
      </c>
      <c r="J110" s="235" t="str">
        <f>+J$3</f>
        <v>B 2022 vs Act 2021</v>
      </c>
      <c r="K110" s="311" t="str">
        <f>+K$3</f>
        <v>%</v>
      </c>
      <c r="M110" s="235" t="str">
        <f>+M$3</f>
        <v>Act 2021 vs Bud 2021</v>
      </c>
      <c r="N110" s="311" t="str">
        <f>+N$3</f>
        <v>%</v>
      </c>
    </row>
    <row r="111" spans="1:14" x14ac:dyDescent="0.3">
      <c r="A111" s="1"/>
      <c r="B111" s="221" t="s">
        <v>19</v>
      </c>
      <c r="C111" s="3"/>
      <c r="D111" s="213">
        <f>+'NOT TO USE.'!D111</f>
        <v>200500</v>
      </c>
      <c r="E111" s="251">
        <f>+'NOT TO USE.'!E111</f>
        <v>186520</v>
      </c>
      <c r="F111" s="251">
        <f>+'NOT TO USE.'!G111</f>
        <v>177000</v>
      </c>
      <c r="G111" s="229">
        <f>+'NOT TO USE.'!H111</f>
        <v>104799</v>
      </c>
      <c r="H111" s="229">
        <f>+'NOT TO USE.'!J111</f>
        <v>188108</v>
      </c>
      <c r="J111" s="237">
        <f t="shared" ref="J111:J119" si="23">D111-E111</f>
        <v>13980</v>
      </c>
      <c r="K111" s="286">
        <f>+J111/E111</f>
        <v>7.4951747801844312E-2</v>
      </c>
      <c r="M111" s="237">
        <f t="shared" ref="M111:M119" si="24">E111-F111</f>
        <v>9520</v>
      </c>
      <c r="N111" s="286">
        <f>+M111/F111</f>
        <v>5.3785310734463278E-2</v>
      </c>
    </row>
    <row r="112" spans="1:14" x14ac:dyDescent="0.3">
      <c r="A112" s="1"/>
      <c r="B112" s="204" t="s">
        <v>50</v>
      </c>
      <c r="C112" s="3"/>
      <c r="D112" s="213">
        <f>+'NOT TO USE.'!D112</f>
        <v>15874.5</v>
      </c>
      <c r="E112" s="251">
        <f>+'NOT TO USE.'!E112</f>
        <v>14926</v>
      </c>
      <c r="F112" s="251">
        <f>+'NOT TO USE.'!G112</f>
        <v>15874.5</v>
      </c>
      <c r="G112" s="229">
        <f>+'NOT TO USE.'!H112</f>
        <v>10846</v>
      </c>
      <c r="H112" s="229">
        <f>+'NOT TO USE.'!J112</f>
        <v>15786</v>
      </c>
      <c r="J112" s="237">
        <f t="shared" si="23"/>
        <v>948.5</v>
      </c>
      <c r="K112" s="286">
        <f>+J112/E112</f>
        <v>6.3546831033096607E-2</v>
      </c>
      <c r="M112" s="237">
        <f t="shared" si="24"/>
        <v>-948.5</v>
      </c>
      <c r="N112" s="286">
        <f>+M112/F112</f>
        <v>-5.9749913383098679E-2</v>
      </c>
    </row>
    <row r="113" spans="1:14" x14ac:dyDescent="0.3">
      <c r="A113" s="1"/>
      <c r="B113" s="204" t="s">
        <v>73</v>
      </c>
      <c r="C113" s="3"/>
      <c r="D113" s="213">
        <f>+'NOT TO USE.'!D113</f>
        <v>13560</v>
      </c>
      <c r="E113" s="251">
        <f>+'NOT TO USE.'!E113</f>
        <v>11964</v>
      </c>
      <c r="F113" s="251">
        <f>+'NOT TO USE.'!G113</f>
        <v>13390</v>
      </c>
      <c r="G113" s="229">
        <f>+'NOT TO USE.'!H113</f>
        <v>8513</v>
      </c>
      <c r="H113" s="229">
        <f>+'NOT TO USE.'!J113</f>
        <v>11197</v>
      </c>
      <c r="J113" s="237">
        <f t="shared" si="23"/>
        <v>1596</v>
      </c>
      <c r="K113" s="286">
        <f>+J113/E113</f>
        <v>0.13340020060180541</v>
      </c>
      <c r="M113" s="237">
        <f t="shared" si="24"/>
        <v>-1426</v>
      </c>
      <c r="N113" s="286">
        <f>+M113/F113</f>
        <v>-0.1064973861090366</v>
      </c>
    </row>
    <row r="114" spans="1:14" x14ac:dyDescent="0.3">
      <c r="A114" s="1"/>
      <c r="B114" s="204" t="s">
        <v>52</v>
      </c>
      <c r="C114" s="3"/>
      <c r="D114" s="213">
        <f>+'NOT TO USE.'!D114</f>
        <v>0</v>
      </c>
      <c r="E114" s="251">
        <f>+'NOT TO USE.'!E114</f>
        <v>0</v>
      </c>
      <c r="F114" s="251">
        <f>+'NOT TO USE.'!G114</f>
        <v>0</v>
      </c>
      <c r="G114" s="229">
        <f>+'NOT TO USE.'!H114</f>
        <v>0</v>
      </c>
      <c r="H114" s="229">
        <f>+'NOT TO USE.'!J114</f>
        <v>0</v>
      </c>
      <c r="J114" s="237">
        <f t="shared" si="23"/>
        <v>0</v>
      </c>
      <c r="K114" s="286"/>
      <c r="M114" s="237">
        <f t="shared" si="24"/>
        <v>0</v>
      </c>
      <c r="N114" s="286"/>
    </row>
    <row r="115" spans="1:14" x14ac:dyDescent="0.3">
      <c r="A115" s="1"/>
      <c r="B115" s="204" t="s">
        <v>53</v>
      </c>
      <c r="C115" s="3"/>
      <c r="D115" s="213">
        <f>+'NOT TO USE.'!D115</f>
        <v>21600</v>
      </c>
      <c r="E115" s="251">
        <f>+'NOT TO USE.'!E115</f>
        <v>21220</v>
      </c>
      <c r="F115" s="251">
        <f>+'NOT TO USE.'!G115</f>
        <v>21000</v>
      </c>
      <c r="G115" s="229">
        <f>+'NOT TO USE.'!H115</f>
        <v>25541</v>
      </c>
      <c r="H115" s="229">
        <f>+'NOT TO USE.'!J115</f>
        <v>28790</v>
      </c>
      <c r="J115" s="237">
        <f t="shared" si="23"/>
        <v>380</v>
      </c>
      <c r="K115" s="286">
        <f>+J115/E115</f>
        <v>1.7907634307257305E-2</v>
      </c>
      <c r="M115" s="237">
        <f t="shared" si="24"/>
        <v>220</v>
      </c>
      <c r="N115" s="286">
        <f>+M115/F115</f>
        <v>1.0476190476190476E-2</v>
      </c>
    </row>
    <row r="116" spans="1:14" x14ac:dyDescent="0.3">
      <c r="A116" s="1"/>
      <c r="B116" s="204" t="s">
        <v>54</v>
      </c>
      <c r="C116" s="3"/>
      <c r="D116" s="213">
        <f>+'NOT TO USE.'!D116</f>
        <v>22055</v>
      </c>
      <c r="E116" s="251">
        <f>+'NOT TO USE.'!E116</f>
        <v>18527</v>
      </c>
      <c r="F116" s="251">
        <f>+'NOT TO USE.'!G116</f>
        <v>20600.000000000004</v>
      </c>
      <c r="G116" s="229">
        <f>+'NOT TO USE.'!H116</f>
        <v>11520</v>
      </c>
      <c r="H116" s="229">
        <f>+'NOT TO USE.'!J116</f>
        <v>18252</v>
      </c>
      <c r="J116" s="237">
        <f t="shared" si="23"/>
        <v>3528</v>
      </c>
      <c r="K116" s="286">
        <f>+J116/E116</f>
        <v>0.19042478544826469</v>
      </c>
      <c r="M116" s="237">
        <f t="shared" si="24"/>
        <v>-2073.0000000000036</v>
      </c>
      <c r="N116" s="286">
        <f>+M116/F116</f>
        <v>-0.10063106796116521</v>
      </c>
    </row>
    <row r="117" spans="1:14" x14ac:dyDescent="0.3">
      <c r="A117" s="1"/>
      <c r="B117" s="204" t="s">
        <v>90</v>
      </c>
      <c r="C117" s="3"/>
      <c r="D117" s="213">
        <f>+'NOT TO USE.'!D117</f>
        <v>-136794.75</v>
      </c>
      <c r="E117" s="251">
        <f>+'NOT TO USE.'!E117</f>
        <v>-126579</v>
      </c>
      <c r="F117" s="251">
        <f>+'NOT TO USE.'!G117</f>
        <v>-123933.60000000002</v>
      </c>
      <c r="G117" s="229">
        <f>+'NOT TO USE.'!H117</f>
        <v>-80125</v>
      </c>
      <c r="H117" s="229">
        <f>+'NOT TO USE.'!J117</f>
        <v>-131108</v>
      </c>
      <c r="J117" s="237">
        <f t="shared" si="23"/>
        <v>-10215.75</v>
      </c>
      <c r="K117" s="286">
        <f>+J117/E117</f>
        <v>8.0706515298746243E-2</v>
      </c>
      <c r="M117" s="237">
        <f t="shared" si="24"/>
        <v>-2645.3999999999796</v>
      </c>
      <c r="N117" s="286">
        <f>+M117/F117</f>
        <v>2.1345301032165444E-2</v>
      </c>
    </row>
    <row r="118" spans="1:14" x14ac:dyDescent="0.3">
      <c r="A118" s="1"/>
      <c r="B118" s="203"/>
      <c r="C118" s="4"/>
      <c r="D118" s="254"/>
      <c r="E118" s="254"/>
      <c r="F118" s="254"/>
      <c r="G118" s="230"/>
      <c r="H118" s="230"/>
      <c r="J118" s="246">
        <f t="shared" si="23"/>
        <v>0</v>
      </c>
      <c r="K118" s="288"/>
      <c r="M118" s="246">
        <f t="shared" si="24"/>
        <v>0</v>
      </c>
      <c r="N118" s="288"/>
    </row>
    <row r="119" spans="1:14" ht="15" thickBot="1" x14ac:dyDescent="0.35">
      <c r="A119" s="1"/>
      <c r="B119" s="206" t="s">
        <v>55</v>
      </c>
      <c r="C119" s="4"/>
      <c r="D119" s="223">
        <f>SUM(D111:D118)</f>
        <v>136794.75</v>
      </c>
      <c r="E119" s="259">
        <f>SUM(E111:E118)</f>
        <v>126578</v>
      </c>
      <c r="F119" s="259">
        <f>SUM(F111:F118)</f>
        <v>123930.89999999998</v>
      </c>
      <c r="G119" s="259">
        <f>SUM(G111:G118)</f>
        <v>81094</v>
      </c>
      <c r="H119" s="259">
        <f>SUM(H111:H118)</f>
        <v>131025</v>
      </c>
      <c r="J119" s="241">
        <f t="shared" si="23"/>
        <v>10216.75</v>
      </c>
      <c r="K119" s="292">
        <f>+J119/E119</f>
        <v>8.071505316879711E-2</v>
      </c>
      <c r="M119" s="241">
        <f t="shared" si="24"/>
        <v>2647.1000000000204</v>
      </c>
      <c r="N119" s="292">
        <f>+M119/F119</f>
        <v>2.1359483389534174E-2</v>
      </c>
    </row>
    <row r="120" spans="1:14" ht="15" thickBot="1" x14ac:dyDescent="0.35">
      <c r="A120" s="1"/>
      <c r="B120" s="48"/>
      <c r="C120" s="49"/>
      <c r="D120" s="76"/>
      <c r="E120" s="76"/>
      <c r="F120" s="76"/>
      <c r="G120" s="76"/>
      <c r="H120" s="76"/>
      <c r="J120" s="76"/>
      <c r="K120" s="232"/>
      <c r="M120" s="76"/>
      <c r="N120" s="232"/>
    </row>
    <row r="121" spans="1:14" ht="15" thickBot="1" x14ac:dyDescent="0.35">
      <c r="A121" s="1"/>
      <c r="B121" s="208" t="s">
        <v>56</v>
      </c>
      <c r="C121" s="4"/>
      <c r="D121" s="9"/>
      <c r="E121" s="9"/>
      <c r="F121" s="9"/>
      <c r="G121" s="9"/>
      <c r="H121" s="9"/>
      <c r="J121" s="9"/>
      <c r="K121" s="296"/>
      <c r="M121" s="9"/>
      <c r="N121" s="296"/>
    </row>
    <row r="122" spans="1:14" x14ac:dyDescent="0.3">
      <c r="A122" s="3"/>
      <c r="B122" s="211" t="s">
        <v>91</v>
      </c>
      <c r="C122" s="3"/>
      <c r="D122" s="262">
        <f>+'NOT TO USE.'!D122</f>
        <v>72500</v>
      </c>
      <c r="E122" s="266">
        <f>+'NOT TO USE.'!E122</f>
        <v>26296.329999999998</v>
      </c>
      <c r="F122" s="266">
        <f>+'NOT TO USE.'!G122</f>
        <v>70500</v>
      </c>
      <c r="G122" s="271">
        <f>+'NOT TO USE.'!H122</f>
        <v>11599</v>
      </c>
      <c r="H122" s="271">
        <f>+'NOT TO USE.'!J122</f>
        <v>70334</v>
      </c>
      <c r="J122" s="236">
        <f t="shared" ref="J122:J133" si="25">D122-E122</f>
        <v>46203.67</v>
      </c>
      <c r="K122" s="305">
        <f t="shared" ref="K122:K133" si="26">+J122/E122</f>
        <v>1.7570387198517816</v>
      </c>
      <c r="M122" s="236">
        <f t="shared" ref="M122:M133" si="27">E122-F122</f>
        <v>-44203.67</v>
      </c>
      <c r="N122" s="305">
        <f t="shared" ref="N122:N133" si="28">+M122/F122</f>
        <v>-0.62700241134751766</v>
      </c>
    </row>
    <row r="123" spans="1:14" x14ac:dyDescent="0.3">
      <c r="A123" s="3"/>
      <c r="B123" s="204" t="s">
        <v>110</v>
      </c>
      <c r="C123" s="3"/>
      <c r="D123" s="263">
        <f>+'NOT TO USE.'!D123</f>
        <v>2400</v>
      </c>
      <c r="E123" s="255">
        <f>+'NOT TO USE.'!E123</f>
        <v>0</v>
      </c>
      <c r="F123" s="255">
        <f>+'NOT TO USE.'!G123</f>
        <v>2200</v>
      </c>
      <c r="G123" s="272">
        <f>+'NOT TO USE.'!H123</f>
        <v>2783</v>
      </c>
      <c r="H123" s="272">
        <f>+'NOT TO USE.'!J123</f>
        <v>2398</v>
      </c>
      <c r="J123" s="237">
        <f t="shared" si="25"/>
        <v>2400</v>
      </c>
      <c r="K123" s="286" t="e">
        <f t="shared" si="26"/>
        <v>#DIV/0!</v>
      </c>
      <c r="M123" s="237">
        <f t="shared" si="27"/>
        <v>-2200</v>
      </c>
      <c r="N123" s="286">
        <f t="shared" si="28"/>
        <v>-1</v>
      </c>
    </row>
    <row r="124" spans="1:14" x14ac:dyDescent="0.3">
      <c r="A124" s="3"/>
      <c r="B124" s="204" t="s">
        <v>92</v>
      </c>
      <c r="C124" s="3"/>
      <c r="D124" s="263">
        <f>+'NOT TO USE.'!D124</f>
        <v>22500</v>
      </c>
      <c r="E124" s="255">
        <f>+'NOT TO USE.'!E124</f>
        <v>3272.86</v>
      </c>
      <c r="F124" s="255">
        <f>+'NOT TO USE.'!G124</f>
        <v>15166.63</v>
      </c>
      <c r="G124" s="272">
        <f>+'NOT TO USE.'!H124</f>
        <v>3333</v>
      </c>
      <c r="H124" s="272">
        <f>+'NOT TO USE.'!J124</f>
        <v>19244</v>
      </c>
      <c r="J124" s="237">
        <f t="shared" si="25"/>
        <v>19227.14</v>
      </c>
      <c r="K124" s="286">
        <f t="shared" si="26"/>
        <v>5.8747211918627738</v>
      </c>
      <c r="M124" s="237">
        <f t="shared" si="27"/>
        <v>-11893.769999999999</v>
      </c>
      <c r="N124" s="286">
        <f t="shared" si="28"/>
        <v>-0.78420651126848873</v>
      </c>
    </row>
    <row r="125" spans="1:14" x14ac:dyDescent="0.3">
      <c r="A125" s="3"/>
      <c r="B125" s="204" t="s">
        <v>61</v>
      </c>
      <c r="C125" s="3"/>
      <c r="D125" s="263">
        <f>+'NOT TO USE.'!D125</f>
        <v>1800</v>
      </c>
      <c r="E125" s="255">
        <f>+'NOT TO USE.'!E125</f>
        <v>2368.2599999999993</v>
      </c>
      <c r="F125" s="255">
        <f>+'NOT TO USE.'!G125</f>
        <v>600</v>
      </c>
      <c r="G125" s="272">
        <f>+'NOT TO USE.'!H125</f>
        <v>403</v>
      </c>
      <c r="H125" s="272">
        <f>+'NOT TO USE.'!J125</f>
        <v>222</v>
      </c>
      <c r="J125" s="237">
        <f t="shared" si="25"/>
        <v>-568.25999999999931</v>
      </c>
      <c r="K125" s="286">
        <f t="shared" si="26"/>
        <v>-0.23994831648552079</v>
      </c>
      <c r="M125" s="237">
        <f t="shared" si="27"/>
        <v>1768.2599999999993</v>
      </c>
      <c r="N125" s="286">
        <f t="shared" si="28"/>
        <v>2.9470999999999989</v>
      </c>
    </row>
    <row r="126" spans="1:14" x14ac:dyDescent="0.3">
      <c r="A126" s="3"/>
      <c r="B126" s="222" t="s">
        <v>79</v>
      </c>
      <c r="C126" s="3"/>
      <c r="D126" s="263">
        <f>+'NOT TO USE.'!D126</f>
        <v>12600</v>
      </c>
      <c r="E126" s="162">
        <f>+'NOT TO USE.'!E126</f>
        <v>0</v>
      </c>
      <c r="F126" s="162">
        <f>+'NOT TO USE.'!G126</f>
        <v>12000</v>
      </c>
      <c r="G126" s="272">
        <f>+'NOT TO USE.'!H126</f>
        <v>4658</v>
      </c>
      <c r="H126" s="272">
        <f>+'NOT TO USE.'!J126</f>
        <v>13711</v>
      </c>
      <c r="J126" s="237">
        <f t="shared" si="25"/>
        <v>12600</v>
      </c>
      <c r="K126" s="286" t="e">
        <f t="shared" si="26"/>
        <v>#DIV/0!</v>
      </c>
      <c r="M126" s="237">
        <f t="shared" si="27"/>
        <v>-12000</v>
      </c>
      <c r="N126" s="286">
        <f t="shared" si="28"/>
        <v>-1</v>
      </c>
    </row>
    <row r="127" spans="1:14" x14ac:dyDescent="0.3">
      <c r="A127" s="1"/>
      <c r="B127" s="204" t="s">
        <v>93</v>
      </c>
      <c r="C127" s="1"/>
      <c r="D127" s="263">
        <f>+'NOT TO USE.'!D127</f>
        <v>335000</v>
      </c>
      <c r="E127" s="267">
        <f>+'NOT TO USE.'!E127</f>
        <v>317687.77324644401</v>
      </c>
      <c r="F127" s="267">
        <f>+'NOT TO USE.'!G127</f>
        <v>271740</v>
      </c>
      <c r="G127" s="272">
        <f>+'NOT TO USE.'!H127</f>
        <v>164886</v>
      </c>
      <c r="H127" s="272">
        <f>+'NOT TO USE.'!J127</f>
        <v>339426</v>
      </c>
      <c r="J127" s="237">
        <f t="shared" si="25"/>
        <v>17312.226753555995</v>
      </c>
      <c r="K127" s="286">
        <f t="shared" si="26"/>
        <v>5.44944697639533E-2</v>
      </c>
      <c r="M127" s="237">
        <f t="shared" si="27"/>
        <v>45947.773246444005</v>
      </c>
      <c r="N127" s="286">
        <f t="shared" si="28"/>
        <v>0.16908726446766764</v>
      </c>
    </row>
    <row r="128" spans="1:14" x14ac:dyDescent="0.3">
      <c r="A128" s="1"/>
      <c r="B128" s="204" t="s">
        <v>94</v>
      </c>
      <c r="C128" s="3"/>
      <c r="D128" s="263">
        <f>+'NOT TO USE.'!D128</f>
        <v>1200</v>
      </c>
      <c r="E128" s="255">
        <f>+'NOT TO USE.'!E128</f>
        <v>6085.5300000000007</v>
      </c>
      <c r="F128" s="255">
        <f>+'NOT TO USE.'!G128</f>
        <v>0</v>
      </c>
      <c r="G128" s="272">
        <f>+'NOT TO USE.'!H128</f>
        <v>0</v>
      </c>
      <c r="H128" s="272">
        <f>+'NOT TO USE.'!J128</f>
        <v>0</v>
      </c>
      <c r="J128" s="237">
        <f t="shared" si="25"/>
        <v>-4885.5300000000007</v>
      </c>
      <c r="K128" s="286">
        <f t="shared" si="26"/>
        <v>-0.8028109301901396</v>
      </c>
      <c r="M128" s="237">
        <f t="shared" si="27"/>
        <v>6085.5300000000007</v>
      </c>
      <c r="N128" s="286" t="e">
        <f t="shared" si="28"/>
        <v>#DIV/0!</v>
      </c>
    </row>
    <row r="129" spans="1:14" x14ac:dyDescent="0.3">
      <c r="A129" s="1"/>
      <c r="B129" s="204" t="s">
        <v>90</v>
      </c>
      <c r="C129" s="1"/>
      <c r="D129" s="263">
        <f>+'NOT TO USE.'!D129</f>
        <v>-224000</v>
      </c>
      <c r="E129" s="267">
        <f>+'NOT TO USE.'!E129</f>
        <v>-179139.06</v>
      </c>
      <c r="F129" s="267">
        <f>+'NOT TO USE.'!G129</f>
        <v>-186104.40000000002</v>
      </c>
      <c r="G129" s="272">
        <f>+'NOT TO USE.'!H129</f>
        <v>-98562</v>
      </c>
      <c r="H129" s="272">
        <f>+'NOT TO USE.'!J129</f>
        <v>-222667</v>
      </c>
      <c r="J129" s="237">
        <f t="shared" si="25"/>
        <v>-44860.94</v>
      </c>
      <c r="K129" s="286">
        <f t="shared" si="26"/>
        <v>0.25042522831145819</v>
      </c>
      <c r="M129" s="237">
        <f t="shared" si="27"/>
        <v>6965.3400000000256</v>
      </c>
      <c r="N129" s="286">
        <f t="shared" si="28"/>
        <v>-3.7427057071192434E-2</v>
      </c>
    </row>
    <row r="130" spans="1:14" x14ac:dyDescent="0.3">
      <c r="A130" s="1"/>
      <c r="B130" s="204" t="s">
        <v>95</v>
      </c>
      <c r="C130" s="3"/>
      <c r="D130" s="263">
        <f>+'NOT TO USE.'!D130</f>
        <v>57000</v>
      </c>
      <c r="E130" s="255">
        <f>+'NOT TO USE.'!E130</f>
        <v>55780.185420000002</v>
      </c>
      <c r="F130" s="255">
        <f>+'NOT TO USE.'!G130</f>
        <v>40150</v>
      </c>
      <c r="G130" s="272">
        <f>+'NOT TO USE.'!H130</f>
        <v>45775</v>
      </c>
      <c r="H130" s="272">
        <f>+'NOT TO USE.'!J130</f>
        <v>43500</v>
      </c>
      <c r="J130" s="237">
        <f t="shared" si="25"/>
        <v>1219.8145799999984</v>
      </c>
      <c r="K130" s="286">
        <f t="shared" si="26"/>
        <v>2.1868241756733808E-2</v>
      </c>
      <c r="M130" s="237">
        <f t="shared" si="27"/>
        <v>15630.185420000002</v>
      </c>
      <c r="N130" s="286">
        <f t="shared" si="28"/>
        <v>0.38929478007471985</v>
      </c>
    </row>
    <row r="131" spans="1:14" x14ac:dyDescent="0.3">
      <c r="A131" s="1"/>
      <c r="B131" s="204" t="s">
        <v>96</v>
      </c>
      <c r="C131" s="3"/>
      <c r="D131" s="264">
        <f>+'NOT TO USE.'!D131</f>
        <v>7200</v>
      </c>
      <c r="E131" s="255">
        <f>+'NOT TO USE.'!E131</f>
        <v>530.4</v>
      </c>
      <c r="F131" s="255">
        <f>+'NOT TO USE.'!G131</f>
        <v>9500.0399999999991</v>
      </c>
      <c r="G131" s="272">
        <f>+'NOT TO USE.'!H131</f>
        <v>7998</v>
      </c>
      <c r="H131" s="272">
        <f>+'NOT TO USE.'!J131</f>
        <v>7132</v>
      </c>
      <c r="J131" s="237">
        <f t="shared" si="25"/>
        <v>6669.6</v>
      </c>
      <c r="K131" s="286">
        <f t="shared" si="26"/>
        <v>12.574660633484164</v>
      </c>
      <c r="M131" s="237">
        <f t="shared" si="27"/>
        <v>-8969.64</v>
      </c>
      <c r="N131" s="286">
        <f t="shared" si="28"/>
        <v>-0.9441686561319742</v>
      </c>
    </row>
    <row r="132" spans="1:14" x14ac:dyDescent="0.3">
      <c r="A132" s="1"/>
      <c r="B132" s="205" t="s">
        <v>97</v>
      </c>
      <c r="C132" s="3"/>
      <c r="D132" s="265">
        <f>+'NOT TO USE.'!D132</f>
        <v>6100</v>
      </c>
      <c r="E132" s="268">
        <f>+'NOT TO USE.'!E132</f>
        <v>5404.85</v>
      </c>
      <c r="F132" s="268">
        <f>+'NOT TO USE.'!G132</f>
        <v>3788.3700000000008</v>
      </c>
      <c r="G132" s="273">
        <f>+'NOT TO USE.'!H132</f>
        <v>0</v>
      </c>
      <c r="H132" s="273">
        <f>+'NOT TO USE.'!J132</f>
        <v>5168</v>
      </c>
      <c r="J132" s="246">
        <f t="shared" si="25"/>
        <v>695.14999999999964</v>
      </c>
      <c r="K132" s="288">
        <f t="shared" si="26"/>
        <v>0.12861596529043351</v>
      </c>
      <c r="M132" s="246">
        <f t="shared" si="27"/>
        <v>1616.4799999999996</v>
      </c>
      <c r="N132" s="288">
        <f t="shared" si="28"/>
        <v>0.42669538614232488</v>
      </c>
    </row>
    <row r="133" spans="1:14" ht="15" thickBot="1" x14ac:dyDescent="0.35">
      <c r="A133" s="1"/>
      <c r="B133" s="210" t="s">
        <v>67</v>
      </c>
      <c r="C133" s="4"/>
      <c r="D133" s="223">
        <f>SUM(D122:D132)</f>
        <v>294300</v>
      </c>
      <c r="E133" s="259">
        <f>SUM(E122:E132)</f>
        <v>238287.12866644404</v>
      </c>
      <c r="F133" s="259">
        <f>SUM(F122:F132)</f>
        <v>239540.63999999998</v>
      </c>
      <c r="G133" s="259">
        <f>SUM(G122:G132)</f>
        <v>142873</v>
      </c>
      <c r="H133" s="259">
        <f>SUM(H122:H132)</f>
        <v>278468</v>
      </c>
      <c r="J133" s="241">
        <f t="shared" si="25"/>
        <v>56012.871333555959</v>
      </c>
      <c r="K133" s="292">
        <f t="shared" si="26"/>
        <v>0.23506461153410918</v>
      </c>
      <c r="M133" s="241">
        <f t="shared" si="27"/>
        <v>-1253.5113335559436</v>
      </c>
      <c r="N133" s="292">
        <f t="shared" si="28"/>
        <v>-5.2329798131788563E-3</v>
      </c>
    </row>
    <row r="134" spans="1:14" ht="15" thickBot="1" x14ac:dyDescent="0.35">
      <c r="A134" s="1"/>
      <c r="B134" s="48"/>
      <c r="C134" s="49"/>
      <c r="D134" s="57"/>
      <c r="E134" s="57"/>
      <c r="F134" s="57"/>
      <c r="G134" s="57"/>
      <c r="H134" s="57"/>
      <c r="J134" s="57"/>
      <c r="K134" s="232"/>
      <c r="M134" s="57"/>
      <c r="N134" s="232"/>
    </row>
    <row r="135" spans="1:14" ht="15" thickBot="1" x14ac:dyDescent="0.35">
      <c r="A135" s="1"/>
      <c r="B135" s="208" t="s">
        <v>68</v>
      </c>
      <c r="C135" s="4"/>
      <c r="D135" s="120"/>
      <c r="E135" s="120"/>
      <c r="F135" s="120"/>
      <c r="G135" s="120"/>
      <c r="H135" s="120"/>
      <c r="J135" s="120"/>
      <c r="K135" s="296"/>
      <c r="M135" s="120"/>
      <c r="N135" s="296"/>
    </row>
    <row r="136" spans="1:14" ht="15" thickBot="1" x14ac:dyDescent="0.35">
      <c r="A136" s="1"/>
      <c r="B136" s="220" t="s">
        <v>69</v>
      </c>
      <c r="C136" s="4"/>
      <c r="D136" s="217">
        <f>D119+D133</f>
        <v>431094.75</v>
      </c>
      <c r="E136" s="218">
        <f>E119+E133</f>
        <v>364865.12866644404</v>
      </c>
      <c r="F136" s="218">
        <f>F119+F133</f>
        <v>363471.54</v>
      </c>
      <c r="G136" s="219">
        <f>J119+J133</f>
        <v>66229.621333555959</v>
      </c>
      <c r="H136" s="219">
        <f>K119+K133</f>
        <v>0.3157796647029063</v>
      </c>
      <c r="J136" s="244">
        <f>D136-E136</f>
        <v>66229.621333555959</v>
      </c>
      <c r="K136" s="307">
        <f>+J136/E136</f>
        <v>0.1815180901929995</v>
      </c>
      <c r="M136" s="244">
        <f>E136-F136</f>
        <v>1393.5886664440623</v>
      </c>
      <c r="N136" s="307">
        <f>+M136/F136</f>
        <v>3.8341066990941362E-3</v>
      </c>
    </row>
    <row r="137" spans="1:14" x14ac:dyDescent="0.3">
      <c r="A137" s="1"/>
      <c r="B137" s="2"/>
      <c r="C137" s="4"/>
      <c r="D137" s="100"/>
      <c r="E137" s="100"/>
      <c r="F137" s="100"/>
      <c r="G137" s="100"/>
      <c r="H137" s="100"/>
      <c r="J137" s="100"/>
      <c r="K137" s="233"/>
      <c r="M137" s="100"/>
      <c r="N137" s="233"/>
    </row>
    <row r="138" spans="1:14" ht="15" thickBot="1" x14ac:dyDescent="0.35">
      <c r="A138" s="1"/>
      <c r="B138" s="48"/>
      <c r="C138" s="49"/>
      <c r="D138" s="76"/>
      <c r="E138" s="76"/>
      <c r="F138" s="76"/>
      <c r="G138" s="76"/>
      <c r="H138" s="76"/>
      <c r="J138" s="76"/>
      <c r="K138" s="232"/>
      <c r="M138" s="76"/>
      <c r="N138" s="232"/>
    </row>
    <row r="139" spans="1:14" ht="15" thickBot="1" x14ac:dyDescent="0.35">
      <c r="A139" s="1"/>
      <c r="B139" s="208" t="s">
        <v>98</v>
      </c>
      <c r="C139" s="4"/>
      <c r="D139" s="101"/>
      <c r="E139" s="101"/>
      <c r="F139" s="101"/>
      <c r="G139" s="101"/>
      <c r="H139" s="101"/>
      <c r="J139" s="101"/>
      <c r="K139" s="297"/>
      <c r="M139" s="101"/>
      <c r="N139" s="297"/>
    </row>
    <row r="140" spans="1:14" ht="15" thickBot="1" x14ac:dyDescent="0.35">
      <c r="A140" s="1"/>
      <c r="B140" s="48"/>
      <c r="C140" s="49"/>
      <c r="D140" s="103"/>
      <c r="E140" s="103"/>
      <c r="F140" s="103"/>
      <c r="G140" s="103"/>
      <c r="H140" s="103"/>
      <c r="J140" s="103"/>
      <c r="K140" s="295"/>
      <c r="M140" s="103"/>
      <c r="N140" s="295"/>
    </row>
    <row r="141" spans="1:14" ht="15" thickBot="1" x14ac:dyDescent="0.35">
      <c r="A141" s="1"/>
      <c r="B141" s="208" t="s">
        <v>48</v>
      </c>
      <c r="C141" s="4"/>
      <c r="D141" s="224" t="str">
        <f>D3</f>
        <v>BUDGET 2022</v>
      </c>
      <c r="E141" s="224" t="str">
        <f t="shared" ref="E141:H141" si="29">E3</f>
        <v>ACTUAL 2021</v>
      </c>
      <c r="F141" s="224" t="str">
        <f t="shared" si="29"/>
        <v>BUDGET 2021</v>
      </c>
      <c r="G141" s="224" t="str">
        <f t="shared" si="29"/>
        <v>ACTUAL 2020</v>
      </c>
      <c r="H141" s="224" t="str">
        <f t="shared" si="29"/>
        <v>ACTUAL 2019</v>
      </c>
      <c r="J141" s="235" t="str">
        <f>+J$3</f>
        <v>B 2022 vs Act 2021</v>
      </c>
      <c r="K141" s="311" t="str">
        <f>+K$3</f>
        <v>%</v>
      </c>
      <c r="M141" s="235" t="str">
        <f>+M$3</f>
        <v>Act 2021 vs Bud 2021</v>
      </c>
      <c r="N141" s="311" t="str">
        <f>+N$3</f>
        <v>%</v>
      </c>
    </row>
    <row r="142" spans="1:14" x14ac:dyDescent="0.3">
      <c r="A142" s="1"/>
      <c r="B142" s="225" t="s">
        <v>99</v>
      </c>
      <c r="C142" s="3"/>
      <c r="D142" s="274"/>
      <c r="E142" s="280"/>
      <c r="F142" s="280"/>
      <c r="G142" s="277"/>
      <c r="H142" s="277"/>
      <c r="J142" s="245"/>
      <c r="K142" s="286"/>
      <c r="M142" s="245"/>
      <c r="N142" s="286"/>
    </row>
    <row r="143" spans="1:14" x14ac:dyDescent="0.3">
      <c r="A143" s="1"/>
      <c r="B143" s="203" t="s">
        <v>100</v>
      </c>
      <c r="C143" s="4"/>
      <c r="D143" s="275"/>
      <c r="E143" s="281"/>
      <c r="F143" s="281"/>
      <c r="G143" s="278"/>
      <c r="H143" s="278"/>
      <c r="J143" s="245"/>
      <c r="K143" s="286"/>
      <c r="M143" s="245"/>
      <c r="N143" s="286"/>
    </row>
    <row r="144" spans="1:14" x14ac:dyDescent="0.3">
      <c r="A144" s="1"/>
      <c r="B144" s="204"/>
      <c r="C144" s="3"/>
      <c r="D144" s="275"/>
      <c r="E144" s="281"/>
      <c r="F144" s="281"/>
      <c r="G144" s="278"/>
      <c r="H144" s="278"/>
      <c r="J144" s="245"/>
      <c r="K144" s="286"/>
      <c r="M144" s="245"/>
      <c r="N144" s="286"/>
    </row>
    <row r="145" spans="1:14" x14ac:dyDescent="0.3">
      <c r="A145" s="1"/>
      <c r="B145" s="204" t="s">
        <v>50</v>
      </c>
      <c r="C145" s="3"/>
      <c r="D145" s="275"/>
      <c r="E145" s="281"/>
      <c r="F145" s="281"/>
      <c r="G145" s="278"/>
      <c r="H145" s="278"/>
      <c r="J145" s="245"/>
      <c r="K145" s="286"/>
      <c r="M145" s="245"/>
      <c r="N145" s="286"/>
    </row>
    <row r="146" spans="1:14" x14ac:dyDescent="0.3">
      <c r="A146" s="1"/>
      <c r="B146" s="204" t="s">
        <v>73</v>
      </c>
      <c r="C146" s="3"/>
      <c r="D146" s="275"/>
      <c r="E146" s="281"/>
      <c r="F146" s="281"/>
      <c r="G146" s="278"/>
      <c r="H146" s="278"/>
      <c r="J146" s="245"/>
      <c r="K146" s="286"/>
      <c r="M146" s="245"/>
      <c r="N146" s="286"/>
    </row>
    <row r="147" spans="1:14" x14ac:dyDescent="0.3">
      <c r="A147" s="1"/>
      <c r="B147" s="204" t="s">
        <v>52</v>
      </c>
      <c r="C147" s="3"/>
      <c r="D147" s="275"/>
      <c r="E147" s="281"/>
      <c r="F147" s="281"/>
      <c r="G147" s="278"/>
      <c r="H147" s="278"/>
      <c r="J147" s="245"/>
      <c r="K147" s="286"/>
      <c r="M147" s="245"/>
      <c r="N147" s="286"/>
    </row>
    <row r="148" spans="1:14" x14ac:dyDescent="0.3">
      <c r="A148" s="1"/>
      <c r="B148" s="204" t="s">
        <v>53</v>
      </c>
      <c r="C148" s="3"/>
      <c r="D148" s="275"/>
      <c r="E148" s="281"/>
      <c r="F148" s="281"/>
      <c r="G148" s="278"/>
      <c r="H148" s="278"/>
      <c r="J148" s="245"/>
      <c r="K148" s="286"/>
      <c r="M148" s="245"/>
      <c r="N148" s="286"/>
    </row>
    <row r="149" spans="1:14" x14ac:dyDescent="0.3">
      <c r="A149" s="1"/>
      <c r="B149" s="226" t="s">
        <v>54</v>
      </c>
      <c r="C149" s="3"/>
      <c r="D149" s="276"/>
      <c r="E149" s="282"/>
      <c r="F149" s="282"/>
      <c r="G149" s="279"/>
      <c r="H149" s="279"/>
      <c r="J149" s="247"/>
      <c r="K149" s="288"/>
      <c r="M149" s="247"/>
      <c r="N149" s="288"/>
    </row>
    <row r="150" spans="1:14" x14ac:dyDescent="0.3">
      <c r="A150" s="1"/>
      <c r="B150" s="203" t="s">
        <v>101</v>
      </c>
      <c r="C150" s="4"/>
      <c r="D150" s="275"/>
      <c r="E150" s="281"/>
      <c r="F150" s="281"/>
      <c r="G150" s="278"/>
      <c r="H150" s="278"/>
      <c r="J150" s="245"/>
      <c r="K150" s="286"/>
      <c r="M150" s="245"/>
      <c r="N150" s="286"/>
    </row>
    <row r="151" spans="1:14" x14ac:dyDescent="0.3">
      <c r="A151" s="1"/>
      <c r="B151" s="227"/>
      <c r="C151" s="4"/>
      <c r="D151" s="275"/>
      <c r="E151" s="281"/>
      <c r="F151" s="281"/>
      <c r="G151" s="278"/>
      <c r="H151" s="278"/>
      <c r="J151" s="245"/>
      <c r="K151" s="286"/>
      <c r="M151" s="245"/>
      <c r="N151" s="286"/>
    </row>
    <row r="152" spans="1:14" x14ac:dyDescent="0.3">
      <c r="A152" s="1"/>
      <c r="B152" s="203" t="s">
        <v>102</v>
      </c>
      <c r="C152" s="4"/>
      <c r="D152" s="213">
        <f>+'NOT TO USE.'!D152</f>
        <v>74300</v>
      </c>
      <c r="E152" s="251">
        <f>+'NOT TO USE.'!E152</f>
        <v>69485</v>
      </c>
      <c r="F152" s="251">
        <f>+'NOT TO USE.'!G152</f>
        <v>63125</v>
      </c>
      <c r="G152" s="229">
        <f>+'NOT TO USE.'!H152</f>
        <v>59010</v>
      </c>
      <c r="H152" s="229">
        <f>+'NOT TO USE.'!J152</f>
        <v>59010</v>
      </c>
      <c r="J152" s="237">
        <f>D152-E152</f>
        <v>4815</v>
      </c>
      <c r="K152" s="286">
        <f>+J152/E152</f>
        <v>6.929553140965676E-2</v>
      </c>
      <c r="M152" s="237">
        <f>E152-F152</f>
        <v>6360</v>
      </c>
      <c r="N152" s="286">
        <f>+M152/F152</f>
        <v>0.10075247524752476</v>
      </c>
    </row>
    <row r="153" spans="1:14" x14ac:dyDescent="0.3">
      <c r="A153" s="1"/>
      <c r="B153" s="204"/>
      <c r="C153" s="3"/>
      <c r="D153" s="275"/>
      <c r="E153" s="281"/>
      <c r="F153" s="281"/>
      <c r="G153" s="278"/>
      <c r="H153" s="278"/>
      <c r="J153" s="246">
        <f>D153-E153</f>
        <v>0</v>
      </c>
      <c r="K153" s="288" t="e">
        <f>+J153/E153</f>
        <v>#DIV/0!</v>
      </c>
      <c r="M153" s="246">
        <f>E153-F153</f>
        <v>0</v>
      </c>
      <c r="N153" s="288" t="e">
        <f>+M153/F153</f>
        <v>#DIV/0!</v>
      </c>
    </row>
    <row r="154" spans="1:14" ht="15" thickBot="1" x14ac:dyDescent="0.35">
      <c r="A154" s="1"/>
      <c r="B154" s="206" t="s">
        <v>55</v>
      </c>
      <c r="C154" s="4"/>
      <c r="D154" s="228">
        <f>D152</f>
        <v>74300</v>
      </c>
      <c r="E154" s="228">
        <f t="shared" ref="E154:H154" si="30">E152</f>
        <v>69485</v>
      </c>
      <c r="F154" s="228">
        <f t="shared" si="30"/>
        <v>63125</v>
      </c>
      <c r="G154" s="228">
        <f t="shared" si="30"/>
        <v>59010</v>
      </c>
      <c r="H154" s="228">
        <f t="shared" si="30"/>
        <v>59010</v>
      </c>
      <c r="J154" s="241">
        <f>D154-E154</f>
        <v>4815</v>
      </c>
      <c r="K154" s="292">
        <f>+J154/E154</f>
        <v>6.929553140965676E-2</v>
      </c>
      <c r="M154" s="241">
        <f>E154-F154</f>
        <v>6360</v>
      </c>
      <c r="N154" s="292">
        <f>+M154/F154</f>
        <v>0.10075247524752476</v>
      </c>
    </row>
    <row r="155" spans="1:14" ht="15" thickBot="1" x14ac:dyDescent="0.35">
      <c r="A155" s="1"/>
      <c r="B155" s="48"/>
      <c r="C155" s="49"/>
      <c r="D155" s="57"/>
      <c r="E155" s="57"/>
      <c r="F155" s="57"/>
      <c r="G155" s="57"/>
      <c r="H155" s="57"/>
      <c r="J155" s="57"/>
      <c r="K155" s="232"/>
      <c r="M155" s="57"/>
      <c r="N155" s="232"/>
    </row>
    <row r="156" spans="1:14" ht="15" thickBot="1" x14ac:dyDescent="0.35">
      <c r="A156" s="1"/>
      <c r="B156" s="208" t="s">
        <v>56</v>
      </c>
      <c r="C156" s="4"/>
      <c r="D156" s="9"/>
      <c r="E156" s="9"/>
      <c r="F156" s="9"/>
      <c r="G156" s="9"/>
      <c r="H156" s="9"/>
      <c r="J156" s="9"/>
      <c r="K156" s="296"/>
      <c r="M156" s="9"/>
      <c r="N156" s="296"/>
    </row>
    <row r="157" spans="1:14" x14ac:dyDescent="0.3">
      <c r="A157" s="1"/>
      <c r="B157" s="211" t="s">
        <v>103</v>
      </c>
      <c r="C157" s="3"/>
      <c r="D157" s="212">
        <f>+'NOT TO USE.'!D157</f>
        <v>4500</v>
      </c>
      <c r="E157" s="257">
        <f>+'NOT TO USE.'!E157</f>
        <v>4500</v>
      </c>
      <c r="F157" s="257">
        <f>+'NOT TO USE.'!G157</f>
        <v>4500</v>
      </c>
      <c r="G157" s="258">
        <f>+'NOT TO USE.'!H157</f>
        <v>4100</v>
      </c>
      <c r="H157" s="258">
        <f>+'NOT TO USE.'!J157</f>
        <v>4500</v>
      </c>
      <c r="J157" s="236">
        <f>D157-E157</f>
        <v>0</v>
      </c>
      <c r="K157" s="305"/>
      <c r="M157" s="236">
        <f>E157-F157</f>
        <v>0</v>
      </c>
      <c r="N157" s="305"/>
    </row>
    <row r="158" spans="1:14" x14ac:dyDescent="0.3">
      <c r="A158" s="1"/>
      <c r="B158" s="204" t="s">
        <v>104</v>
      </c>
      <c r="C158" s="3"/>
      <c r="D158" s="213"/>
      <c r="E158" s="251"/>
      <c r="F158" s="251"/>
      <c r="G158" s="229"/>
      <c r="H158" s="229"/>
      <c r="J158" s="237">
        <f>D158-E158</f>
        <v>0</v>
      </c>
      <c r="K158" s="286"/>
      <c r="M158" s="237">
        <f>E158-F158</f>
        <v>0</v>
      </c>
      <c r="N158" s="286"/>
    </row>
    <row r="159" spans="1:14" x14ac:dyDescent="0.3">
      <c r="A159" s="1"/>
      <c r="B159" s="204" t="s">
        <v>94</v>
      </c>
      <c r="C159" s="3"/>
      <c r="D159" s="213">
        <f>+'NOT TO USE.'!D159</f>
        <v>3600</v>
      </c>
      <c r="E159" s="251">
        <f>+'NOT TO USE.'!E159</f>
        <v>266.5</v>
      </c>
      <c r="F159" s="251">
        <f>+'NOT TO USE.'!G159</f>
        <v>3667</v>
      </c>
      <c r="G159" s="229">
        <f>+'NOT TO USE.'!H159</f>
        <v>0</v>
      </c>
      <c r="H159" s="229">
        <f>+'NOT TO USE.'!J159</f>
        <v>0</v>
      </c>
      <c r="J159" s="246">
        <f>D159-E159</f>
        <v>3333.5</v>
      </c>
      <c r="K159" s="288">
        <f>+J159/E159</f>
        <v>12.50844277673546</v>
      </c>
      <c r="M159" s="246">
        <f>E159-F159</f>
        <v>-3400.5</v>
      </c>
      <c r="N159" s="288">
        <f>+M159/F159</f>
        <v>-0.92732478865557677</v>
      </c>
    </row>
    <row r="160" spans="1:14" ht="15" thickBot="1" x14ac:dyDescent="0.35">
      <c r="A160" s="1"/>
      <c r="B160" s="206" t="s">
        <v>67</v>
      </c>
      <c r="C160" s="4"/>
      <c r="D160" s="228">
        <f>SUM(D157:D159)</f>
        <v>8100</v>
      </c>
      <c r="E160" s="283">
        <f>SUM(E157:E159)</f>
        <v>4766.5</v>
      </c>
      <c r="F160" s="283">
        <f>SUM(F157:F159)</f>
        <v>8167</v>
      </c>
      <c r="G160" s="283">
        <f>SUM(G157:G159)</f>
        <v>4100</v>
      </c>
      <c r="H160" s="283">
        <f>SUM(H157:H159)</f>
        <v>4500</v>
      </c>
      <c r="J160" s="242">
        <f>D160-E160</f>
        <v>3333.5</v>
      </c>
      <c r="K160" s="306">
        <f>+J160/E160</f>
        <v>0.69936011748662541</v>
      </c>
      <c r="M160" s="242">
        <f>E160-F160</f>
        <v>-3400.5</v>
      </c>
      <c r="N160" s="306">
        <f>+M160/F160</f>
        <v>-0.41637076037712745</v>
      </c>
    </row>
    <row r="161" spans="1:14" ht="15" thickBot="1" x14ac:dyDescent="0.35">
      <c r="A161" s="1"/>
      <c r="B161" s="48"/>
      <c r="C161" s="49"/>
      <c r="D161" s="76"/>
      <c r="E161" s="76"/>
      <c r="F161" s="76"/>
      <c r="G161" s="76"/>
      <c r="H161" s="76"/>
      <c r="J161" s="76"/>
      <c r="K161" s="232"/>
      <c r="M161" s="76"/>
      <c r="N161" s="232"/>
    </row>
    <row r="162" spans="1:14" ht="15" thickBot="1" x14ac:dyDescent="0.35">
      <c r="A162" s="1"/>
      <c r="B162" s="208" t="s">
        <v>68</v>
      </c>
      <c r="C162" s="4"/>
      <c r="D162" s="9"/>
      <c r="E162" s="9"/>
      <c r="F162" s="9"/>
      <c r="G162" s="9"/>
      <c r="H162" s="9"/>
      <c r="J162" s="9"/>
      <c r="K162" s="296"/>
      <c r="M162" s="9"/>
      <c r="N162" s="296"/>
    </row>
    <row r="163" spans="1:14" ht="15" thickBot="1" x14ac:dyDescent="0.35">
      <c r="A163" s="1"/>
      <c r="B163" s="220" t="s">
        <v>69</v>
      </c>
      <c r="C163" s="4"/>
      <c r="D163" s="217">
        <f>D154+D160</f>
        <v>82400</v>
      </c>
      <c r="E163" s="218">
        <f>E154+E160</f>
        <v>74251.5</v>
      </c>
      <c r="F163" s="218">
        <f>F154+F160</f>
        <v>71292</v>
      </c>
      <c r="G163" s="219">
        <f>G154+G160</f>
        <v>63110</v>
      </c>
      <c r="H163" s="219">
        <f>H154+H160</f>
        <v>63510</v>
      </c>
      <c r="J163" s="244">
        <f>D163-E163</f>
        <v>8148.5</v>
      </c>
      <c r="K163" s="307">
        <f>+J163/E163</f>
        <v>0.10974189073621408</v>
      </c>
      <c r="M163" s="244">
        <f>E163-F163</f>
        <v>2959.5</v>
      </c>
      <c r="N163" s="307">
        <f>+M163/F163</f>
        <v>4.15123716546036E-2</v>
      </c>
    </row>
    <row r="164" spans="1:14" x14ac:dyDescent="0.3">
      <c r="A164" s="1"/>
      <c r="B164" s="2"/>
      <c r="C164" s="4"/>
      <c r="D164" s="100"/>
      <c r="E164" s="100"/>
      <c r="F164" s="100"/>
      <c r="G164" s="100"/>
      <c r="H164" s="100"/>
      <c r="J164" s="100"/>
      <c r="K164" s="233"/>
      <c r="M164" s="100"/>
      <c r="N164" s="233"/>
    </row>
    <row r="165" spans="1:14" ht="15" thickBot="1" x14ac:dyDescent="0.35">
      <c r="A165" s="1"/>
      <c r="B165" s="48"/>
      <c r="C165" s="49"/>
      <c r="D165" s="76"/>
      <c r="E165" s="76"/>
      <c r="F165" s="76"/>
      <c r="G165" s="76"/>
      <c r="H165" s="76"/>
      <c r="J165" s="76"/>
      <c r="K165" s="232"/>
      <c r="M165" s="76"/>
      <c r="N165" s="232"/>
    </row>
    <row r="166" spans="1:14" ht="15" thickBot="1" x14ac:dyDescent="0.35">
      <c r="A166" s="1"/>
      <c r="B166" s="208" t="s">
        <v>105</v>
      </c>
      <c r="C166" s="4"/>
      <c r="D166" s="101"/>
      <c r="E166" s="101"/>
      <c r="F166" s="101"/>
      <c r="G166" s="101"/>
      <c r="H166" s="101"/>
      <c r="J166" s="101"/>
      <c r="K166" s="297"/>
      <c r="M166" s="101"/>
      <c r="N166" s="297"/>
    </row>
    <row r="167" spans="1:14" ht="15" thickBot="1" x14ac:dyDescent="0.35">
      <c r="A167" s="1"/>
      <c r="B167" s="48"/>
      <c r="C167" s="49"/>
      <c r="D167" s="103"/>
      <c r="E167" s="103"/>
      <c r="F167" s="103"/>
      <c r="G167" s="103"/>
      <c r="H167" s="103"/>
      <c r="J167" s="103"/>
      <c r="K167" s="295"/>
      <c r="M167" s="103"/>
      <c r="N167" s="295"/>
    </row>
    <row r="168" spans="1:14" ht="15" thickBot="1" x14ac:dyDescent="0.35">
      <c r="A168" s="1"/>
      <c r="B168" s="209" t="s">
        <v>56</v>
      </c>
      <c r="C168" s="4"/>
      <c r="D168" s="308" t="str">
        <f>D3</f>
        <v>BUDGET 2022</v>
      </c>
      <c r="E168" s="308" t="str">
        <f t="shared" ref="E168:H168" si="31">E3</f>
        <v>ACTUAL 2021</v>
      </c>
      <c r="F168" s="308" t="str">
        <f t="shared" si="31"/>
        <v>BUDGET 2021</v>
      </c>
      <c r="G168" s="308" t="str">
        <f t="shared" si="31"/>
        <v>ACTUAL 2020</v>
      </c>
      <c r="H168" s="308" t="str">
        <f t="shared" si="31"/>
        <v>ACTUAL 2019</v>
      </c>
      <c r="J168" s="235" t="str">
        <f>+J$3</f>
        <v>B 2022 vs Act 2021</v>
      </c>
      <c r="K168" s="311" t="str">
        <f>+K$3</f>
        <v>%</v>
      </c>
      <c r="M168" s="235" t="str">
        <f>+M$3</f>
        <v>Act 2021 vs Bud 2021</v>
      </c>
      <c r="N168" s="311" t="str">
        <f>+N$3</f>
        <v>%</v>
      </c>
    </row>
    <row r="169" spans="1:14" x14ac:dyDescent="0.3">
      <c r="A169" s="1"/>
      <c r="B169" s="204" t="s">
        <v>106</v>
      </c>
      <c r="C169" s="3"/>
      <c r="D169" s="213">
        <f>+'NOT TO USE.'!D169</f>
        <v>192000</v>
      </c>
      <c r="E169" s="251">
        <f>+'NOT TO USE.'!E169</f>
        <v>188395</v>
      </c>
      <c r="F169" s="251">
        <f>+'NOT TO USE.'!G169</f>
        <v>130000</v>
      </c>
      <c r="G169" s="251">
        <f>+'NOT TO USE.'!H169</f>
        <v>79614</v>
      </c>
      <c r="H169" s="251">
        <f>+'NOT TO USE.'!J169</f>
        <v>140979</v>
      </c>
      <c r="J169" s="237">
        <f>D169-E169</f>
        <v>3605</v>
      </c>
      <c r="K169" s="286">
        <f>+J169/E169</f>
        <v>1.9135327370683936E-2</v>
      </c>
      <c r="M169" s="237">
        <f>E169-F169</f>
        <v>58395</v>
      </c>
      <c r="N169" s="286">
        <f>+M169/F169</f>
        <v>0.44919230769230767</v>
      </c>
    </row>
    <row r="170" spans="1:14" x14ac:dyDescent="0.3">
      <c r="A170" s="1"/>
      <c r="B170" s="204" t="s">
        <v>107</v>
      </c>
      <c r="C170" s="3"/>
      <c r="D170" s="213">
        <f>+'NOT TO USE.'!D170</f>
        <v>49000</v>
      </c>
      <c r="E170" s="251">
        <f>+'NOT TO USE.'!E170</f>
        <v>43291</v>
      </c>
      <c r="F170" s="251">
        <f>+'NOT TO USE.'!G170</f>
        <v>34000</v>
      </c>
      <c r="G170" s="251">
        <f>+'NOT TO USE.'!H170</f>
        <v>22545</v>
      </c>
      <c r="H170" s="251">
        <f>+'NOT TO USE.'!J170</f>
        <v>94239</v>
      </c>
      <c r="J170" s="237">
        <f>D170-E170</f>
        <v>5709</v>
      </c>
      <c r="K170" s="286">
        <f>+J170/E170</f>
        <v>0.13187498556281907</v>
      </c>
      <c r="M170" s="237">
        <f>E170-F170</f>
        <v>9291</v>
      </c>
      <c r="N170" s="286">
        <f>+M170/F170</f>
        <v>0.27326470588235297</v>
      </c>
    </row>
    <row r="171" spans="1:14" x14ac:dyDescent="0.3">
      <c r="A171" s="1"/>
      <c r="B171" s="204" t="s">
        <v>108</v>
      </c>
      <c r="C171" s="3"/>
      <c r="D171" s="213">
        <f>+'NOT TO USE.'!D171</f>
        <v>25000</v>
      </c>
      <c r="E171" s="251">
        <f>+'NOT TO USE.'!E171</f>
        <v>52006</v>
      </c>
      <c r="F171" s="251">
        <f>+'NOT TO USE.'!G171</f>
        <v>34250</v>
      </c>
      <c r="G171" s="251">
        <f>+'NOT TO USE.'!H171</f>
        <v>37387</v>
      </c>
      <c r="H171" s="251">
        <f>+'NOT TO USE.'!J171</f>
        <v>27670</v>
      </c>
      <c r="J171" s="246">
        <f>D171-E171</f>
        <v>-27006</v>
      </c>
      <c r="K171" s="288">
        <f>+J171/E171</f>
        <v>-0.51928623620351499</v>
      </c>
      <c r="M171" s="246">
        <f>E171-F171</f>
        <v>17756</v>
      </c>
      <c r="N171" s="288">
        <f>+M171/F171</f>
        <v>0.51842335766423353</v>
      </c>
    </row>
    <row r="172" spans="1:14" ht="15" thickBot="1" x14ac:dyDescent="0.35">
      <c r="A172" s="1"/>
      <c r="B172" s="206" t="s">
        <v>67</v>
      </c>
      <c r="C172" s="4"/>
      <c r="D172" s="228">
        <f>SUM(D169:D171)</f>
        <v>266000</v>
      </c>
      <c r="E172" s="283">
        <f>SUM(E169:E171)</f>
        <v>283692</v>
      </c>
      <c r="F172" s="283">
        <f>SUM(F169:F171)</f>
        <v>198250</v>
      </c>
      <c r="G172" s="283">
        <f>SUM(G169:G171)</f>
        <v>139546</v>
      </c>
      <c r="H172" s="283">
        <f>SUM(H169:H171)</f>
        <v>262888</v>
      </c>
      <c r="J172" s="241">
        <f>D172-E172</f>
        <v>-17692</v>
      </c>
      <c r="K172" s="292">
        <f>+J172/E172</f>
        <v>-6.2363408203262694E-2</v>
      </c>
      <c r="M172" s="241">
        <f>E172-F172</f>
        <v>85442</v>
      </c>
      <c r="N172" s="292">
        <f>+M172/F172</f>
        <v>0.43098108448928119</v>
      </c>
    </row>
    <row r="173" spans="1:14" x14ac:dyDescent="0.3">
      <c r="A173" s="1"/>
      <c r="B173" s="48"/>
      <c r="C173" s="49"/>
      <c r="D173" s="76"/>
      <c r="E173" s="76"/>
      <c r="F173" s="76"/>
      <c r="G173" s="76"/>
      <c r="H173" s="76"/>
      <c r="J173" s="76"/>
      <c r="K173" s="232"/>
      <c r="M173" s="76"/>
      <c r="N173" s="232"/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AD179"/>
  <sheetViews>
    <sheetView workbookViewId="0">
      <selection activeCell="E25" sqref="E25"/>
    </sheetView>
  </sheetViews>
  <sheetFormatPr defaultColWidth="9.109375" defaultRowHeight="12" x14ac:dyDescent="0.25"/>
  <cols>
    <col min="1" max="1" width="2.33203125" style="1" customWidth="1"/>
    <col min="2" max="2" width="20.5546875" style="1" customWidth="1"/>
    <col min="3" max="3" width="1.6640625" style="3" customWidth="1"/>
    <col min="4" max="5" width="14.5546875" style="3" customWidth="1"/>
    <col min="6" max="6" width="16.33203125" style="3" customWidth="1"/>
    <col min="7" max="8" width="13.6640625" style="3" customWidth="1"/>
    <col min="9" max="9" width="13.6640625" style="3" hidden="1" customWidth="1"/>
    <col min="10" max="10" width="13.6640625" style="3" customWidth="1"/>
    <col min="11" max="11" width="13.6640625" style="3" hidden="1" customWidth="1"/>
    <col min="12" max="19" width="13.6640625" style="3" customWidth="1"/>
    <col min="20" max="20" width="13.6640625" style="5" customWidth="1"/>
    <col min="21" max="21" width="12.6640625" style="5" customWidth="1"/>
    <col min="22" max="22" width="14.109375" style="5" customWidth="1"/>
    <col min="23" max="23" width="15.33203125" style="6" customWidth="1"/>
    <col min="24" max="24" width="12.6640625" style="5" customWidth="1"/>
    <col min="25" max="25" width="7.5546875" style="5" customWidth="1"/>
    <col min="26" max="26" width="1.6640625" style="6" customWidth="1"/>
    <col min="27" max="29" width="14.6640625" style="5" customWidth="1"/>
    <col min="30" max="30" width="5.6640625" style="1" customWidth="1"/>
    <col min="31" max="31" width="2.33203125" style="1" customWidth="1"/>
    <col min="32" max="261" width="9.109375" style="1"/>
    <col min="262" max="262" width="2.33203125" style="1" customWidth="1"/>
    <col min="263" max="263" width="20.5546875" style="1" customWidth="1"/>
    <col min="264" max="264" width="1.6640625" style="1" customWidth="1"/>
    <col min="265" max="265" width="13.109375" style="1" customWidth="1"/>
    <col min="266" max="276" width="13.6640625" style="1" customWidth="1"/>
    <col min="277" max="278" width="0" style="1" hidden="1" customWidth="1"/>
    <col min="279" max="279" width="1.6640625" style="1" customWidth="1"/>
    <col min="280" max="280" width="12.6640625" style="1" customWidth="1"/>
    <col min="281" max="281" width="7.5546875" style="1" customWidth="1"/>
    <col min="282" max="282" width="1.6640625" style="1" customWidth="1"/>
    <col min="283" max="285" width="14.6640625" style="1" customWidth="1"/>
    <col min="286" max="286" width="5.6640625" style="1" customWidth="1"/>
    <col min="287" max="287" width="2.33203125" style="1" customWidth="1"/>
    <col min="288" max="517" width="9.109375" style="1"/>
    <col min="518" max="518" width="2.33203125" style="1" customWidth="1"/>
    <col min="519" max="519" width="20.5546875" style="1" customWidth="1"/>
    <col min="520" max="520" width="1.6640625" style="1" customWidth="1"/>
    <col min="521" max="521" width="13.109375" style="1" customWidth="1"/>
    <col min="522" max="532" width="13.6640625" style="1" customWidth="1"/>
    <col min="533" max="534" width="0" style="1" hidden="1" customWidth="1"/>
    <col min="535" max="535" width="1.6640625" style="1" customWidth="1"/>
    <col min="536" max="536" width="12.6640625" style="1" customWidth="1"/>
    <col min="537" max="537" width="7.5546875" style="1" customWidth="1"/>
    <col min="538" max="538" width="1.6640625" style="1" customWidth="1"/>
    <col min="539" max="541" width="14.6640625" style="1" customWidth="1"/>
    <col min="542" max="542" width="5.6640625" style="1" customWidth="1"/>
    <col min="543" max="543" width="2.33203125" style="1" customWidth="1"/>
    <col min="544" max="773" width="9.109375" style="1"/>
    <col min="774" max="774" width="2.33203125" style="1" customWidth="1"/>
    <col min="775" max="775" width="20.5546875" style="1" customWidth="1"/>
    <col min="776" max="776" width="1.6640625" style="1" customWidth="1"/>
    <col min="777" max="777" width="13.109375" style="1" customWidth="1"/>
    <col min="778" max="788" width="13.6640625" style="1" customWidth="1"/>
    <col min="789" max="790" width="0" style="1" hidden="1" customWidth="1"/>
    <col min="791" max="791" width="1.6640625" style="1" customWidth="1"/>
    <col min="792" max="792" width="12.6640625" style="1" customWidth="1"/>
    <col min="793" max="793" width="7.5546875" style="1" customWidth="1"/>
    <col min="794" max="794" width="1.6640625" style="1" customWidth="1"/>
    <col min="795" max="797" width="14.6640625" style="1" customWidth="1"/>
    <col min="798" max="798" width="5.6640625" style="1" customWidth="1"/>
    <col min="799" max="799" width="2.33203125" style="1" customWidth="1"/>
    <col min="800" max="1029" width="9.109375" style="1"/>
    <col min="1030" max="1030" width="2.33203125" style="1" customWidth="1"/>
    <col min="1031" max="1031" width="20.5546875" style="1" customWidth="1"/>
    <col min="1032" max="1032" width="1.6640625" style="1" customWidth="1"/>
    <col min="1033" max="1033" width="13.109375" style="1" customWidth="1"/>
    <col min="1034" max="1044" width="13.6640625" style="1" customWidth="1"/>
    <col min="1045" max="1046" width="0" style="1" hidden="1" customWidth="1"/>
    <col min="1047" max="1047" width="1.6640625" style="1" customWidth="1"/>
    <col min="1048" max="1048" width="12.6640625" style="1" customWidth="1"/>
    <col min="1049" max="1049" width="7.5546875" style="1" customWidth="1"/>
    <col min="1050" max="1050" width="1.6640625" style="1" customWidth="1"/>
    <col min="1051" max="1053" width="14.6640625" style="1" customWidth="1"/>
    <col min="1054" max="1054" width="5.6640625" style="1" customWidth="1"/>
    <col min="1055" max="1055" width="2.33203125" style="1" customWidth="1"/>
    <col min="1056" max="1285" width="9.109375" style="1"/>
    <col min="1286" max="1286" width="2.33203125" style="1" customWidth="1"/>
    <col min="1287" max="1287" width="20.5546875" style="1" customWidth="1"/>
    <col min="1288" max="1288" width="1.6640625" style="1" customWidth="1"/>
    <col min="1289" max="1289" width="13.109375" style="1" customWidth="1"/>
    <col min="1290" max="1300" width="13.6640625" style="1" customWidth="1"/>
    <col min="1301" max="1302" width="0" style="1" hidden="1" customWidth="1"/>
    <col min="1303" max="1303" width="1.6640625" style="1" customWidth="1"/>
    <col min="1304" max="1304" width="12.6640625" style="1" customWidth="1"/>
    <col min="1305" max="1305" width="7.5546875" style="1" customWidth="1"/>
    <col min="1306" max="1306" width="1.6640625" style="1" customWidth="1"/>
    <col min="1307" max="1309" width="14.6640625" style="1" customWidth="1"/>
    <col min="1310" max="1310" width="5.6640625" style="1" customWidth="1"/>
    <col min="1311" max="1311" width="2.33203125" style="1" customWidth="1"/>
    <col min="1312" max="1541" width="9.109375" style="1"/>
    <col min="1542" max="1542" width="2.33203125" style="1" customWidth="1"/>
    <col min="1543" max="1543" width="20.5546875" style="1" customWidth="1"/>
    <col min="1544" max="1544" width="1.6640625" style="1" customWidth="1"/>
    <col min="1545" max="1545" width="13.109375" style="1" customWidth="1"/>
    <col min="1546" max="1556" width="13.6640625" style="1" customWidth="1"/>
    <col min="1557" max="1558" width="0" style="1" hidden="1" customWidth="1"/>
    <col min="1559" max="1559" width="1.6640625" style="1" customWidth="1"/>
    <col min="1560" max="1560" width="12.6640625" style="1" customWidth="1"/>
    <col min="1561" max="1561" width="7.5546875" style="1" customWidth="1"/>
    <col min="1562" max="1562" width="1.6640625" style="1" customWidth="1"/>
    <col min="1563" max="1565" width="14.6640625" style="1" customWidth="1"/>
    <col min="1566" max="1566" width="5.6640625" style="1" customWidth="1"/>
    <col min="1567" max="1567" width="2.33203125" style="1" customWidth="1"/>
    <col min="1568" max="1797" width="9.109375" style="1"/>
    <col min="1798" max="1798" width="2.33203125" style="1" customWidth="1"/>
    <col min="1799" max="1799" width="20.5546875" style="1" customWidth="1"/>
    <col min="1800" max="1800" width="1.6640625" style="1" customWidth="1"/>
    <col min="1801" max="1801" width="13.109375" style="1" customWidth="1"/>
    <col min="1802" max="1812" width="13.6640625" style="1" customWidth="1"/>
    <col min="1813" max="1814" width="0" style="1" hidden="1" customWidth="1"/>
    <col min="1815" max="1815" width="1.6640625" style="1" customWidth="1"/>
    <col min="1816" max="1816" width="12.6640625" style="1" customWidth="1"/>
    <col min="1817" max="1817" width="7.5546875" style="1" customWidth="1"/>
    <col min="1818" max="1818" width="1.6640625" style="1" customWidth="1"/>
    <col min="1819" max="1821" width="14.6640625" style="1" customWidth="1"/>
    <col min="1822" max="1822" width="5.6640625" style="1" customWidth="1"/>
    <col min="1823" max="1823" width="2.33203125" style="1" customWidth="1"/>
    <col min="1824" max="2053" width="9.109375" style="1"/>
    <col min="2054" max="2054" width="2.33203125" style="1" customWidth="1"/>
    <col min="2055" max="2055" width="20.5546875" style="1" customWidth="1"/>
    <col min="2056" max="2056" width="1.6640625" style="1" customWidth="1"/>
    <col min="2057" max="2057" width="13.109375" style="1" customWidth="1"/>
    <col min="2058" max="2068" width="13.6640625" style="1" customWidth="1"/>
    <col min="2069" max="2070" width="0" style="1" hidden="1" customWidth="1"/>
    <col min="2071" max="2071" width="1.6640625" style="1" customWidth="1"/>
    <col min="2072" max="2072" width="12.6640625" style="1" customWidth="1"/>
    <col min="2073" max="2073" width="7.5546875" style="1" customWidth="1"/>
    <col min="2074" max="2074" width="1.6640625" style="1" customWidth="1"/>
    <col min="2075" max="2077" width="14.6640625" style="1" customWidth="1"/>
    <col min="2078" max="2078" width="5.6640625" style="1" customWidth="1"/>
    <col min="2079" max="2079" width="2.33203125" style="1" customWidth="1"/>
    <col min="2080" max="2309" width="9.109375" style="1"/>
    <col min="2310" max="2310" width="2.33203125" style="1" customWidth="1"/>
    <col min="2311" max="2311" width="20.5546875" style="1" customWidth="1"/>
    <col min="2312" max="2312" width="1.6640625" style="1" customWidth="1"/>
    <col min="2313" max="2313" width="13.109375" style="1" customWidth="1"/>
    <col min="2314" max="2324" width="13.6640625" style="1" customWidth="1"/>
    <col min="2325" max="2326" width="0" style="1" hidden="1" customWidth="1"/>
    <col min="2327" max="2327" width="1.6640625" style="1" customWidth="1"/>
    <col min="2328" max="2328" width="12.6640625" style="1" customWidth="1"/>
    <col min="2329" max="2329" width="7.5546875" style="1" customWidth="1"/>
    <col min="2330" max="2330" width="1.6640625" style="1" customWidth="1"/>
    <col min="2331" max="2333" width="14.6640625" style="1" customWidth="1"/>
    <col min="2334" max="2334" width="5.6640625" style="1" customWidth="1"/>
    <col min="2335" max="2335" width="2.33203125" style="1" customWidth="1"/>
    <col min="2336" max="2565" width="9.109375" style="1"/>
    <col min="2566" max="2566" width="2.33203125" style="1" customWidth="1"/>
    <col min="2567" max="2567" width="20.5546875" style="1" customWidth="1"/>
    <col min="2568" max="2568" width="1.6640625" style="1" customWidth="1"/>
    <col min="2569" max="2569" width="13.109375" style="1" customWidth="1"/>
    <col min="2570" max="2580" width="13.6640625" style="1" customWidth="1"/>
    <col min="2581" max="2582" width="0" style="1" hidden="1" customWidth="1"/>
    <col min="2583" max="2583" width="1.6640625" style="1" customWidth="1"/>
    <col min="2584" max="2584" width="12.6640625" style="1" customWidth="1"/>
    <col min="2585" max="2585" width="7.5546875" style="1" customWidth="1"/>
    <col min="2586" max="2586" width="1.6640625" style="1" customWidth="1"/>
    <col min="2587" max="2589" width="14.6640625" style="1" customWidth="1"/>
    <col min="2590" max="2590" width="5.6640625" style="1" customWidth="1"/>
    <col min="2591" max="2591" width="2.33203125" style="1" customWidth="1"/>
    <col min="2592" max="2821" width="9.109375" style="1"/>
    <col min="2822" max="2822" width="2.33203125" style="1" customWidth="1"/>
    <col min="2823" max="2823" width="20.5546875" style="1" customWidth="1"/>
    <col min="2824" max="2824" width="1.6640625" style="1" customWidth="1"/>
    <col min="2825" max="2825" width="13.109375" style="1" customWidth="1"/>
    <col min="2826" max="2836" width="13.6640625" style="1" customWidth="1"/>
    <col min="2837" max="2838" width="0" style="1" hidden="1" customWidth="1"/>
    <col min="2839" max="2839" width="1.6640625" style="1" customWidth="1"/>
    <col min="2840" max="2840" width="12.6640625" style="1" customWidth="1"/>
    <col min="2841" max="2841" width="7.5546875" style="1" customWidth="1"/>
    <col min="2842" max="2842" width="1.6640625" style="1" customWidth="1"/>
    <col min="2843" max="2845" width="14.6640625" style="1" customWidth="1"/>
    <col min="2846" max="2846" width="5.6640625" style="1" customWidth="1"/>
    <col min="2847" max="2847" width="2.33203125" style="1" customWidth="1"/>
    <col min="2848" max="3077" width="9.109375" style="1"/>
    <col min="3078" max="3078" width="2.33203125" style="1" customWidth="1"/>
    <col min="3079" max="3079" width="20.5546875" style="1" customWidth="1"/>
    <col min="3080" max="3080" width="1.6640625" style="1" customWidth="1"/>
    <col min="3081" max="3081" width="13.109375" style="1" customWidth="1"/>
    <col min="3082" max="3092" width="13.6640625" style="1" customWidth="1"/>
    <col min="3093" max="3094" width="0" style="1" hidden="1" customWidth="1"/>
    <col min="3095" max="3095" width="1.6640625" style="1" customWidth="1"/>
    <col min="3096" max="3096" width="12.6640625" style="1" customWidth="1"/>
    <col min="3097" max="3097" width="7.5546875" style="1" customWidth="1"/>
    <col min="3098" max="3098" width="1.6640625" style="1" customWidth="1"/>
    <col min="3099" max="3101" width="14.6640625" style="1" customWidth="1"/>
    <col min="3102" max="3102" width="5.6640625" style="1" customWidth="1"/>
    <col min="3103" max="3103" width="2.33203125" style="1" customWidth="1"/>
    <col min="3104" max="3333" width="9.109375" style="1"/>
    <col min="3334" max="3334" width="2.33203125" style="1" customWidth="1"/>
    <col min="3335" max="3335" width="20.5546875" style="1" customWidth="1"/>
    <col min="3336" max="3336" width="1.6640625" style="1" customWidth="1"/>
    <col min="3337" max="3337" width="13.109375" style="1" customWidth="1"/>
    <col min="3338" max="3348" width="13.6640625" style="1" customWidth="1"/>
    <col min="3349" max="3350" width="0" style="1" hidden="1" customWidth="1"/>
    <col min="3351" max="3351" width="1.6640625" style="1" customWidth="1"/>
    <col min="3352" max="3352" width="12.6640625" style="1" customWidth="1"/>
    <col min="3353" max="3353" width="7.5546875" style="1" customWidth="1"/>
    <col min="3354" max="3354" width="1.6640625" style="1" customWidth="1"/>
    <col min="3355" max="3357" width="14.6640625" style="1" customWidth="1"/>
    <col min="3358" max="3358" width="5.6640625" style="1" customWidth="1"/>
    <col min="3359" max="3359" width="2.33203125" style="1" customWidth="1"/>
    <col min="3360" max="3589" width="9.109375" style="1"/>
    <col min="3590" max="3590" width="2.33203125" style="1" customWidth="1"/>
    <col min="3591" max="3591" width="20.5546875" style="1" customWidth="1"/>
    <col min="3592" max="3592" width="1.6640625" style="1" customWidth="1"/>
    <col min="3593" max="3593" width="13.109375" style="1" customWidth="1"/>
    <col min="3594" max="3604" width="13.6640625" style="1" customWidth="1"/>
    <col min="3605" max="3606" width="0" style="1" hidden="1" customWidth="1"/>
    <col min="3607" max="3607" width="1.6640625" style="1" customWidth="1"/>
    <col min="3608" max="3608" width="12.6640625" style="1" customWidth="1"/>
    <col min="3609" max="3609" width="7.5546875" style="1" customWidth="1"/>
    <col min="3610" max="3610" width="1.6640625" style="1" customWidth="1"/>
    <col min="3611" max="3613" width="14.6640625" style="1" customWidth="1"/>
    <col min="3614" max="3614" width="5.6640625" style="1" customWidth="1"/>
    <col min="3615" max="3615" width="2.33203125" style="1" customWidth="1"/>
    <col min="3616" max="3845" width="9.109375" style="1"/>
    <col min="3846" max="3846" width="2.33203125" style="1" customWidth="1"/>
    <col min="3847" max="3847" width="20.5546875" style="1" customWidth="1"/>
    <col min="3848" max="3848" width="1.6640625" style="1" customWidth="1"/>
    <col min="3849" max="3849" width="13.109375" style="1" customWidth="1"/>
    <col min="3850" max="3860" width="13.6640625" style="1" customWidth="1"/>
    <col min="3861" max="3862" width="0" style="1" hidden="1" customWidth="1"/>
    <col min="3863" max="3863" width="1.6640625" style="1" customWidth="1"/>
    <col min="3864" max="3864" width="12.6640625" style="1" customWidth="1"/>
    <col min="3865" max="3865" width="7.5546875" style="1" customWidth="1"/>
    <col min="3866" max="3866" width="1.6640625" style="1" customWidth="1"/>
    <col min="3867" max="3869" width="14.6640625" style="1" customWidth="1"/>
    <col min="3870" max="3870" width="5.6640625" style="1" customWidth="1"/>
    <col min="3871" max="3871" width="2.33203125" style="1" customWidth="1"/>
    <col min="3872" max="4101" width="9.109375" style="1"/>
    <col min="4102" max="4102" width="2.33203125" style="1" customWidth="1"/>
    <col min="4103" max="4103" width="20.5546875" style="1" customWidth="1"/>
    <col min="4104" max="4104" width="1.6640625" style="1" customWidth="1"/>
    <col min="4105" max="4105" width="13.109375" style="1" customWidth="1"/>
    <col min="4106" max="4116" width="13.6640625" style="1" customWidth="1"/>
    <col min="4117" max="4118" width="0" style="1" hidden="1" customWidth="1"/>
    <col min="4119" max="4119" width="1.6640625" style="1" customWidth="1"/>
    <col min="4120" max="4120" width="12.6640625" style="1" customWidth="1"/>
    <col min="4121" max="4121" width="7.5546875" style="1" customWidth="1"/>
    <col min="4122" max="4122" width="1.6640625" style="1" customWidth="1"/>
    <col min="4123" max="4125" width="14.6640625" style="1" customWidth="1"/>
    <col min="4126" max="4126" width="5.6640625" style="1" customWidth="1"/>
    <col min="4127" max="4127" width="2.33203125" style="1" customWidth="1"/>
    <col min="4128" max="4357" width="9.109375" style="1"/>
    <col min="4358" max="4358" width="2.33203125" style="1" customWidth="1"/>
    <col min="4359" max="4359" width="20.5546875" style="1" customWidth="1"/>
    <col min="4360" max="4360" width="1.6640625" style="1" customWidth="1"/>
    <col min="4361" max="4361" width="13.109375" style="1" customWidth="1"/>
    <col min="4362" max="4372" width="13.6640625" style="1" customWidth="1"/>
    <col min="4373" max="4374" width="0" style="1" hidden="1" customWidth="1"/>
    <col min="4375" max="4375" width="1.6640625" style="1" customWidth="1"/>
    <col min="4376" max="4376" width="12.6640625" style="1" customWidth="1"/>
    <col min="4377" max="4377" width="7.5546875" style="1" customWidth="1"/>
    <col min="4378" max="4378" width="1.6640625" style="1" customWidth="1"/>
    <col min="4379" max="4381" width="14.6640625" style="1" customWidth="1"/>
    <col min="4382" max="4382" width="5.6640625" style="1" customWidth="1"/>
    <col min="4383" max="4383" width="2.33203125" style="1" customWidth="1"/>
    <col min="4384" max="4613" width="9.109375" style="1"/>
    <col min="4614" max="4614" width="2.33203125" style="1" customWidth="1"/>
    <col min="4615" max="4615" width="20.5546875" style="1" customWidth="1"/>
    <col min="4616" max="4616" width="1.6640625" style="1" customWidth="1"/>
    <col min="4617" max="4617" width="13.109375" style="1" customWidth="1"/>
    <col min="4618" max="4628" width="13.6640625" style="1" customWidth="1"/>
    <col min="4629" max="4630" width="0" style="1" hidden="1" customWidth="1"/>
    <col min="4631" max="4631" width="1.6640625" style="1" customWidth="1"/>
    <col min="4632" max="4632" width="12.6640625" style="1" customWidth="1"/>
    <col min="4633" max="4633" width="7.5546875" style="1" customWidth="1"/>
    <col min="4634" max="4634" width="1.6640625" style="1" customWidth="1"/>
    <col min="4635" max="4637" width="14.6640625" style="1" customWidth="1"/>
    <col min="4638" max="4638" width="5.6640625" style="1" customWidth="1"/>
    <col min="4639" max="4639" width="2.33203125" style="1" customWidth="1"/>
    <col min="4640" max="4869" width="9.109375" style="1"/>
    <col min="4870" max="4870" width="2.33203125" style="1" customWidth="1"/>
    <col min="4871" max="4871" width="20.5546875" style="1" customWidth="1"/>
    <col min="4872" max="4872" width="1.6640625" style="1" customWidth="1"/>
    <col min="4873" max="4873" width="13.109375" style="1" customWidth="1"/>
    <col min="4874" max="4884" width="13.6640625" style="1" customWidth="1"/>
    <col min="4885" max="4886" width="0" style="1" hidden="1" customWidth="1"/>
    <col min="4887" max="4887" width="1.6640625" style="1" customWidth="1"/>
    <col min="4888" max="4888" width="12.6640625" style="1" customWidth="1"/>
    <col min="4889" max="4889" width="7.5546875" style="1" customWidth="1"/>
    <col min="4890" max="4890" width="1.6640625" style="1" customWidth="1"/>
    <col min="4891" max="4893" width="14.6640625" style="1" customWidth="1"/>
    <col min="4894" max="4894" width="5.6640625" style="1" customWidth="1"/>
    <col min="4895" max="4895" width="2.33203125" style="1" customWidth="1"/>
    <col min="4896" max="5125" width="9.109375" style="1"/>
    <col min="5126" max="5126" width="2.33203125" style="1" customWidth="1"/>
    <col min="5127" max="5127" width="20.5546875" style="1" customWidth="1"/>
    <col min="5128" max="5128" width="1.6640625" style="1" customWidth="1"/>
    <col min="5129" max="5129" width="13.109375" style="1" customWidth="1"/>
    <col min="5130" max="5140" width="13.6640625" style="1" customWidth="1"/>
    <col min="5141" max="5142" width="0" style="1" hidden="1" customWidth="1"/>
    <col min="5143" max="5143" width="1.6640625" style="1" customWidth="1"/>
    <col min="5144" max="5144" width="12.6640625" style="1" customWidth="1"/>
    <col min="5145" max="5145" width="7.5546875" style="1" customWidth="1"/>
    <col min="5146" max="5146" width="1.6640625" style="1" customWidth="1"/>
    <col min="5147" max="5149" width="14.6640625" style="1" customWidth="1"/>
    <col min="5150" max="5150" width="5.6640625" style="1" customWidth="1"/>
    <col min="5151" max="5151" width="2.33203125" style="1" customWidth="1"/>
    <col min="5152" max="5381" width="9.109375" style="1"/>
    <col min="5382" max="5382" width="2.33203125" style="1" customWidth="1"/>
    <col min="5383" max="5383" width="20.5546875" style="1" customWidth="1"/>
    <col min="5384" max="5384" width="1.6640625" style="1" customWidth="1"/>
    <col min="5385" max="5385" width="13.109375" style="1" customWidth="1"/>
    <col min="5386" max="5396" width="13.6640625" style="1" customWidth="1"/>
    <col min="5397" max="5398" width="0" style="1" hidden="1" customWidth="1"/>
    <col min="5399" max="5399" width="1.6640625" style="1" customWidth="1"/>
    <col min="5400" max="5400" width="12.6640625" style="1" customWidth="1"/>
    <col min="5401" max="5401" width="7.5546875" style="1" customWidth="1"/>
    <col min="5402" max="5402" width="1.6640625" style="1" customWidth="1"/>
    <col min="5403" max="5405" width="14.6640625" style="1" customWidth="1"/>
    <col min="5406" max="5406" width="5.6640625" style="1" customWidth="1"/>
    <col min="5407" max="5407" width="2.33203125" style="1" customWidth="1"/>
    <col min="5408" max="5637" width="9.109375" style="1"/>
    <col min="5638" max="5638" width="2.33203125" style="1" customWidth="1"/>
    <col min="5639" max="5639" width="20.5546875" style="1" customWidth="1"/>
    <col min="5640" max="5640" width="1.6640625" style="1" customWidth="1"/>
    <col min="5641" max="5641" width="13.109375" style="1" customWidth="1"/>
    <col min="5642" max="5652" width="13.6640625" style="1" customWidth="1"/>
    <col min="5653" max="5654" width="0" style="1" hidden="1" customWidth="1"/>
    <col min="5655" max="5655" width="1.6640625" style="1" customWidth="1"/>
    <col min="5656" max="5656" width="12.6640625" style="1" customWidth="1"/>
    <col min="5657" max="5657" width="7.5546875" style="1" customWidth="1"/>
    <col min="5658" max="5658" width="1.6640625" style="1" customWidth="1"/>
    <col min="5659" max="5661" width="14.6640625" style="1" customWidth="1"/>
    <col min="5662" max="5662" width="5.6640625" style="1" customWidth="1"/>
    <col min="5663" max="5663" width="2.33203125" style="1" customWidth="1"/>
    <col min="5664" max="5893" width="9.109375" style="1"/>
    <col min="5894" max="5894" width="2.33203125" style="1" customWidth="1"/>
    <col min="5895" max="5895" width="20.5546875" style="1" customWidth="1"/>
    <col min="5896" max="5896" width="1.6640625" style="1" customWidth="1"/>
    <col min="5897" max="5897" width="13.109375" style="1" customWidth="1"/>
    <col min="5898" max="5908" width="13.6640625" style="1" customWidth="1"/>
    <col min="5909" max="5910" width="0" style="1" hidden="1" customWidth="1"/>
    <col min="5911" max="5911" width="1.6640625" style="1" customWidth="1"/>
    <col min="5912" max="5912" width="12.6640625" style="1" customWidth="1"/>
    <col min="5913" max="5913" width="7.5546875" style="1" customWidth="1"/>
    <col min="5914" max="5914" width="1.6640625" style="1" customWidth="1"/>
    <col min="5915" max="5917" width="14.6640625" style="1" customWidth="1"/>
    <col min="5918" max="5918" width="5.6640625" style="1" customWidth="1"/>
    <col min="5919" max="5919" width="2.33203125" style="1" customWidth="1"/>
    <col min="5920" max="6149" width="9.109375" style="1"/>
    <col min="6150" max="6150" width="2.33203125" style="1" customWidth="1"/>
    <col min="6151" max="6151" width="20.5546875" style="1" customWidth="1"/>
    <col min="6152" max="6152" width="1.6640625" style="1" customWidth="1"/>
    <col min="6153" max="6153" width="13.109375" style="1" customWidth="1"/>
    <col min="6154" max="6164" width="13.6640625" style="1" customWidth="1"/>
    <col min="6165" max="6166" width="0" style="1" hidden="1" customWidth="1"/>
    <col min="6167" max="6167" width="1.6640625" style="1" customWidth="1"/>
    <col min="6168" max="6168" width="12.6640625" style="1" customWidth="1"/>
    <col min="6169" max="6169" width="7.5546875" style="1" customWidth="1"/>
    <col min="6170" max="6170" width="1.6640625" style="1" customWidth="1"/>
    <col min="6171" max="6173" width="14.6640625" style="1" customWidth="1"/>
    <col min="6174" max="6174" width="5.6640625" style="1" customWidth="1"/>
    <col min="6175" max="6175" width="2.33203125" style="1" customWidth="1"/>
    <col min="6176" max="6405" width="9.109375" style="1"/>
    <col min="6406" max="6406" width="2.33203125" style="1" customWidth="1"/>
    <col min="6407" max="6407" width="20.5546875" style="1" customWidth="1"/>
    <col min="6408" max="6408" width="1.6640625" style="1" customWidth="1"/>
    <col min="6409" max="6409" width="13.109375" style="1" customWidth="1"/>
    <col min="6410" max="6420" width="13.6640625" style="1" customWidth="1"/>
    <col min="6421" max="6422" width="0" style="1" hidden="1" customWidth="1"/>
    <col min="6423" max="6423" width="1.6640625" style="1" customWidth="1"/>
    <col min="6424" max="6424" width="12.6640625" style="1" customWidth="1"/>
    <col min="6425" max="6425" width="7.5546875" style="1" customWidth="1"/>
    <col min="6426" max="6426" width="1.6640625" style="1" customWidth="1"/>
    <col min="6427" max="6429" width="14.6640625" style="1" customWidth="1"/>
    <col min="6430" max="6430" width="5.6640625" style="1" customWidth="1"/>
    <col min="6431" max="6431" width="2.33203125" style="1" customWidth="1"/>
    <col min="6432" max="6661" width="9.109375" style="1"/>
    <col min="6662" max="6662" width="2.33203125" style="1" customWidth="1"/>
    <col min="6663" max="6663" width="20.5546875" style="1" customWidth="1"/>
    <col min="6664" max="6664" width="1.6640625" style="1" customWidth="1"/>
    <col min="6665" max="6665" width="13.109375" style="1" customWidth="1"/>
    <col min="6666" max="6676" width="13.6640625" style="1" customWidth="1"/>
    <col min="6677" max="6678" width="0" style="1" hidden="1" customWidth="1"/>
    <col min="6679" max="6679" width="1.6640625" style="1" customWidth="1"/>
    <col min="6680" max="6680" width="12.6640625" style="1" customWidth="1"/>
    <col min="6681" max="6681" width="7.5546875" style="1" customWidth="1"/>
    <col min="6682" max="6682" width="1.6640625" style="1" customWidth="1"/>
    <col min="6683" max="6685" width="14.6640625" style="1" customWidth="1"/>
    <col min="6686" max="6686" width="5.6640625" style="1" customWidth="1"/>
    <col min="6687" max="6687" width="2.33203125" style="1" customWidth="1"/>
    <col min="6688" max="6917" width="9.109375" style="1"/>
    <col min="6918" max="6918" width="2.33203125" style="1" customWidth="1"/>
    <col min="6919" max="6919" width="20.5546875" style="1" customWidth="1"/>
    <col min="6920" max="6920" width="1.6640625" style="1" customWidth="1"/>
    <col min="6921" max="6921" width="13.109375" style="1" customWidth="1"/>
    <col min="6922" max="6932" width="13.6640625" style="1" customWidth="1"/>
    <col min="6933" max="6934" width="0" style="1" hidden="1" customWidth="1"/>
    <col min="6935" max="6935" width="1.6640625" style="1" customWidth="1"/>
    <col min="6936" max="6936" width="12.6640625" style="1" customWidth="1"/>
    <col min="6937" max="6937" width="7.5546875" style="1" customWidth="1"/>
    <col min="6938" max="6938" width="1.6640625" style="1" customWidth="1"/>
    <col min="6939" max="6941" width="14.6640625" style="1" customWidth="1"/>
    <col min="6942" max="6942" width="5.6640625" style="1" customWidth="1"/>
    <col min="6943" max="6943" width="2.33203125" style="1" customWidth="1"/>
    <col min="6944" max="7173" width="9.109375" style="1"/>
    <col min="7174" max="7174" width="2.33203125" style="1" customWidth="1"/>
    <col min="7175" max="7175" width="20.5546875" style="1" customWidth="1"/>
    <col min="7176" max="7176" width="1.6640625" style="1" customWidth="1"/>
    <col min="7177" max="7177" width="13.109375" style="1" customWidth="1"/>
    <col min="7178" max="7188" width="13.6640625" style="1" customWidth="1"/>
    <col min="7189" max="7190" width="0" style="1" hidden="1" customWidth="1"/>
    <col min="7191" max="7191" width="1.6640625" style="1" customWidth="1"/>
    <col min="7192" max="7192" width="12.6640625" style="1" customWidth="1"/>
    <col min="7193" max="7193" width="7.5546875" style="1" customWidth="1"/>
    <col min="7194" max="7194" width="1.6640625" style="1" customWidth="1"/>
    <col min="7195" max="7197" width="14.6640625" style="1" customWidth="1"/>
    <col min="7198" max="7198" width="5.6640625" style="1" customWidth="1"/>
    <col min="7199" max="7199" width="2.33203125" style="1" customWidth="1"/>
    <col min="7200" max="7429" width="9.109375" style="1"/>
    <col min="7430" max="7430" width="2.33203125" style="1" customWidth="1"/>
    <col min="7431" max="7431" width="20.5546875" style="1" customWidth="1"/>
    <col min="7432" max="7432" width="1.6640625" style="1" customWidth="1"/>
    <col min="7433" max="7433" width="13.109375" style="1" customWidth="1"/>
    <col min="7434" max="7444" width="13.6640625" style="1" customWidth="1"/>
    <col min="7445" max="7446" width="0" style="1" hidden="1" customWidth="1"/>
    <col min="7447" max="7447" width="1.6640625" style="1" customWidth="1"/>
    <col min="7448" max="7448" width="12.6640625" style="1" customWidth="1"/>
    <col min="7449" max="7449" width="7.5546875" style="1" customWidth="1"/>
    <col min="7450" max="7450" width="1.6640625" style="1" customWidth="1"/>
    <col min="7451" max="7453" width="14.6640625" style="1" customWidth="1"/>
    <col min="7454" max="7454" width="5.6640625" style="1" customWidth="1"/>
    <col min="7455" max="7455" width="2.33203125" style="1" customWidth="1"/>
    <col min="7456" max="7685" width="9.109375" style="1"/>
    <col min="7686" max="7686" width="2.33203125" style="1" customWidth="1"/>
    <col min="7687" max="7687" width="20.5546875" style="1" customWidth="1"/>
    <col min="7688" max="7688" width="1.6640625" style="1" customWidth="1"/>
    <col min="7689" max="7689" width="13.109375" style="1" customWidth="1"/>
    <col min="7690" max="7700" width="13.6640625" style="1" customWidth="1"/>
    <col min="7701" max="7702" width="0" style="1" hidden="1" customWidth="1"/>
    <col min="7703" max="7703" width="1.6640625" style="1" customWidth="1"/>
    <col min="7704" max="7704" width="12.6640625" style="1" customWidth="1"/>
    <col min="7705" max="7705" width="7.5546875" style="1" customWidth="1"/>
    <col min="7706" max="7706" width="1.6640625" style="1" customWidth="1"/>
    <col min="7707" max="7709" width="14.6640625" style="1" customWidth="1"/>
    <col min="7710" max="7710" width="5.6640625" style="1" customWidth="1"/>
    <col min="7711" max="7711" width="2.33203125" style="1" customWidth="1"/>
    <col min="7712" max="7941" width="9.109375" style="1"/>
    <col min="7942" max="7942" width="2.33203125" style="1" customWidth="1"/>
    <col min="7943" max="7943" width="20.5546875" style="1" customWidth="1"/>
    <col min="7944" max="7944" width="1.6640625" style="1" customWidth="1"/>
    <col min="7945" max="7945" width="13.109375" style="1" customWidth="1"/>
    <col min="7946" max="7956" width="13.6640625" style="1" customWidth="1"/>
    <col min="7957" max="7958" width="0" style="1" hidden="1" customWidth="1"/>
    <col min="7959" max="7959" width="1.6640625" style="1" customWidth="1"/>
    <col min="7960" max="7960" width="12.6640625" style="1" customWidth="1"/>
    <col min="7961" max="7961" width="7.5546875" style="1" customWidth="1"/>
    <col min="7962" max="7962" width="1.6640625" style="1" customWidth="1"/>
    <col min="7963" max="7965" width="14.6640625" style="1" customWidth="1"/>
    <col min="7966" max="7966" width="5.6640625" style="1" customWidth="1"/>
    <col min="7967" max="7967" width="2.33203125" style="1" customWidth="1"/>
    <col min="7968" max="8197" width="9.109375" style="1"/>
    <col min="8198" max="8198" width="2.33203125" style="1" customWidth="1"/>
    <col min="8199" max="8199" width="20.5546875" style="1" customWidth="1"/>
    <col min="8200" max="8200" width="1.6640625" style="1" customWidth="1"/>
    <col min="8201" max="8201" width="13.109375" style="1" customWidth="1"/>
    <col min="8202" max="8212" width="13.6640625" style="1" customWidth="1"/>
    <col min="8213" max="8214" width="0" style="1" hidden="1" customWidth="1"/>
    <col min="8215" max="8215" width="1.6640625" style="1" customWidth="1"/>
    <col min="8216" max="8216" width="12.6640625" style="1" customWidth="1"/>
    <col min="8217" max="8217" width="7.5546875" style="1" customWidth="1"/>
    <col min="8218" max="8218" width="1.6640625" style="1" customWidth="1"/>
    <col min="8219" max="8221" width="14.6640625" style="1" customWidth="1"/>
    <col min="8222" max="8222" width="5.6640625" style="1" customWidth="1"/>
    <col min="8223" max="8223" width="2.33203125" style="1" customWidth="1"/>
    <col min="8224" max="8453" width="9.109375" style="1"/>
    <col min="8454" max="8454" width="2.33203125" style="1" customWidth="1"/>
    <col min="8455" max="8455" width="20.5546875" style="1" customWidth="1"/>
    <col min="8456" max="8456" width="1.6640625" style="1" customWidth="1"/>
    <col min="8457" max="8457" width="13.109375" style="1" customWidth="1"/>
    <col min="8458" max="8468" width="13.6640625" style="1" customWidth="1"/>
    <col min="8469" max="8470" width="0" style="1" hidden="1" customWidth="1"/>
    <col min="8471" max="8471" width="1.6640625" style="1" customWidth="1"/>
    <col min="8472" max="8472" width="12.6640625" style="1" customWidth="1"/>
    <col min="8473" max="8473" width="7.5546875" style="1" customWidth="1"/>
    <col min="8474" max="8474" width="1.6640625" style="1" customWidth="1"/>
    <col min="8475" max="8477" width="14.6640625" style="1" customWidth="1"/>
    <col min="8478" max="8478" width="5.6640625" style="1" customWidth="1"/>
    <col min="8479" max="8479" width="2.33203125" style="1" customWidth="1"/>
    <col min="8480" max="8709" width="9.109375" style="1"/>
    <col min="8710" max="8710" width="2.33203125" style="1" customWidth="1"/>
    <col min="8711" max="8711" width="20.5546875" style="1" customWidth="1"/>
    <col min="8712" max="8712" width="1.6640625" style="1" customWidth="1"/>
    <col min="8713" max="8713" width="13.109375" style="1" customWidth="1"/>
    <col min="8714" max="8724" width="13.6640625" style="1" customWidth="1"/>
    <col min="8725" max="8726" width="0" style="1" hidden="1" customWidth="1"/>
    <col min="8727" max="8727" width="1.6640625" style="1" customWidth="1"/>
    <col min="8728" max="8728" width="12.6640625" style="1" customWidth="1"/>
    <col min="8729" max="8729" width="7.5546875" style="1" customWidth="1"/>
    <col min="8730" max="8730" width="1.6640625" style="1" customWidth="1"/>
    <col min="8731" max="8733" width="14.6640625" style="1" customWidth="1"/>
    <col min="8734" max="8734" width="5.6640625" style="1" customWidth="1"/>
    <col min="8735" max="8735" width="2.33203125" style="1" customWidth="1"/>
    <col min="8736" max="8965" width="9.109375" style="1"/>
    <col min="8966" max="8966" width="2.33203125" style="1" customWidth="1"/>
    <col min="8967" max="8967" width="20.5546875" style="1" customWidth="1"/>
    <col min="8968" max="8968" width="1.6640625" style="1" customWidth="1"/>
    <col min="8969" max="8969" width="13.109375" style="1" customWidth="1"/>
    <col min="8970" max="8980" width="13.6640625" style="1" customWidth="1"/>
    <col min="8981" max="8982" width="0" style="1" hidden="1" customWidth="1"/>
    <col min="8983" max="8983" width="1.6640625" style="1" customWidth="1"/>
    <col min="8984" max="8984" width="12.6640625" style="1" customWidth="1"/>
    <col min="8985" max="8985" width="7.5546875" style="1" customWidth="1"/>
    <col min="8986" max="8986" width="1.6640625" style="1" customWidth="1"/>
    <col min="8987" max="8989" width="14.6640625" style="1" customWidth="1"/>
    <col min="8990" max="8990" width="5.6640625" style="1" customWidth="1"/>
    <col min="8991" max="8991" width="2.33203125" style="1" customWidth="1"/>
    <col min="8992" max="9221" width="9.109375" style="1"/>
    <col min="9222" max="9222" width="2.33203125" style="1" customWidth="1"/>
    <col min="9223" max="9223" width="20.5546875" style="1" customWidth="1"/>
    <col min="9224" max="9224" width="1.6640625" style="1" customWidth="1"/>
    <col min="9225" max="9225" width="13.109375" style="1" customWidth="1"/>
    <col min="9226" max="9236" width="13.6640625" style="1" customWidth="1"/>
    <col min="9237" max="9238" width="0" style="1" hidden="1" customWidth="1"/>
    <col min="9239" max="9239" width="1.6640625" style="1" customWidth="1"/>
    <col min="9240" max="9240" width="12.6640625" style="1" customWidth="1"/>
    <col min="9241" max="9241" width="7.5546875" style="1" customWidth="1"/>
    <col min="9242" max="9242" width="1.6640625" style="1" customWidth="1"/>
    <col min="9243" max="9245" width="14.6640625" style="1" customWidth="1"/>
    <col min="9246" max="9246" width="5.6640625" style="1" customWidth="1"/>
    <col min="9247" max="9247" width="2.33203125" style="1" customWidth="1"/>
    <col min="9248" max="9477" width="9.109375" style="1"/>
    <col min="9478" max="9478" width="2.33203125" style="1" customWidth="1"/>
    <col min="9479" max="9479" width="20.5546875" style="1" customWidth="1"/>
    <col min="9480" max="9480" width="1.6640625" style="1" customWidth="1"/>
    <col min="9481" max="9481" width="13.109375" style="1" customWidth="1"/>
    <col min="9482" max="9492" width="13.6640625" style="1" customWidth="1"/>
    <col min="9493" max="9494" width="0" style="1" hidden="1" customWidth="1"/>
    <col min="9495" max="9495" width="1.6640625" style="1" customWidth="1"/>
    <col min="9496" max="9496" width="12.6640625" style="1" customWidth="1"/>
    <col min="9497" max="9497" width="7.5546875" style="1" customWidth="1"/>
    <col min="9498" max="9498" width="1.6640625" style="1" customWidth="1"/>
    <col min="9499" max="9501" width="14.6640625" style="1" customWidth="1"/>
    <col min="9502" max="9502" width="5.6640625" style="1" customWidth="1"/>
    <col min="9503" max="9503" width="2.33203125" style="1" customWidth="1"/>
    <col min="9504" max="9733" width="9.109375" style="1"/>
    <col min="9734" max="9734" width="2.33203125" style="1" customWidth="1"/>
    <col min="9735" max="9735" width="20.5546875" style="1" customWidth="1"/>
    <col min="9736" max="9736" width="1.6640625" style="1" customWidth="1"/>
    <col min="9737" max="9737" width="13.109375" style="1" customWidth="1"/>
    <col min="9738" max="9748" width="13.6640625" style="1" customWidth="1"/>
    <col min="9749" max="9750" width="0" style="1" hidden="1" customWidth="1"/>
    <col min="9751" max="9751" width="1.6640625" style="1" customWidth="1"/>
    <col min="9752" max="9752" width="12.6640625" style="1" customWidth="1"/>
    <col min="9753" max="9753" width="7.5546875" style="1" customWidth="1"/>
    <col min="9754" max="9754" width="1.6640625" style="1" customWidth="1"/>
    <col min="9755" max="9757" width="14.6640625" style="1" customWidth="1"/>
    <col min="9758" max="9758" width="5.6640625" style="1" customWidth="1"/>
    <col min="9759" max="9759" width="2.33203125" style="1" customWidth="1"/>
    <col min="9760" max="9989" width="9.109375" style="1"/>
    <col min="9990" max="9990" width="2.33203125" style="1" customWidth="1"/>
    <col min="9991" max="9991" width="20.5546875" style="1" customWidth="1"/>
    <col min="9992" max="9992" width="1.6640625" style="1" customWidth="1"/>
    <col min="9993" max="9993" width="13.109375" style="1" customWidth="1"/>
    <col min="9994" max="10004" width="13.6640625" style="1" customWidth="1"/>
    <col min="10005" max="10006" width="0" style="1" hidden="1" customWidth="1"/>
    <col min="10007" max="10007" width="1.6640625" style="1" customWidth="1"/>
    <col min="10008" max="10008" width="12.6640625" style="1" customWidth="1"/>
    <col min="10009" max="10009" width="7.5546875" style="1" customWidth="1"/>
    <col min="10010" max="10010" width="1.6640625" style="1" customWidth="1"/>
    <col min="10011" max="10013" width="14.6640625" style="1" customWidth="1"/>
    <col min="10014" max="10014" width="5.6640625" style="1" customWidth="1"/>
    <col min="10015" max="10015" width="2.33203125" style="1" customWidth="1"/>
    <col min="10016" max="10245" width="9.109375" style="1"/>
    <col min="10246" max="10246" width="2.33203125" style="1" customWidth="1"/>
    <col min="10247" max="10247" width="20.5546875" style="1" customWidth="1"/>
    <col min="10248" max="10248" width="1.6640625" style="1" customWidth="1"/>
    <col min="10249" max="10249" width="13.109375" style="1" customWidth="1"/>
    <col min="10250" max="10260" width="13.6640625" style="1" customWidth="1"/>
    <col min="10261" max="10262" width="0" style="1" hidden="1" customWidth="1"/>
    <col min="10263" max="10263" width="1.6640625" style="1" customWidth="1"/>
    <col min="10264" max="10264" width="12.6640625" style="1" customWidth="1"/>
    <col min="10265" max="10265" width="7.5546875" style="1" customWidth="1"/>
    <col min="10266" max="10266" width="1.6640625" style="1" customWidth="1"/>
    <col min="10267" max="10269" width="14.6640625" style="1" customWidth="1"/>
    <col min="10270" max="10270" width="5.6640625" style="1" customWidth="1"/>
    <col min="10271" max="10271" width="2.33203125" style="1" customWidth="1"/>
    <col min="10272" max="10501" width="9.109375" style="1"/>
    <col min="10502" max="10502" width="2.33203125" style="1" customWidth="1"/>
    <col min="10503" max="10503" width="20.5546875" style="1" customWidth="1"/>
    <col min="10504" max="10504" width="1.6640625" style="1" customWidth="1"/>
    <col min="10505" max="10505" width="13.109375" style="1" customWidth="1"/>
    <col min="10506" max="10516" width="13.6640625" style="1" customWidth="1"/>
    <col min="10517" max="10518" width="0" style="1" hidden="1" customWidth="1"/>
    <col min="10519" max="10519" width="1.6640625" style="1" customWidth="1"/>
    <col min="10520" max="10520" width="12.6640625" style="1" customWidth="1"/>
    <col min="10521" max="10521" width="7.5546875" style="1" customWidth="1"/>
    <col min="10522" max="10522" width="1.6640625" style="1" customWidth="1"/>
    <col min="10523" max="10525" width="14.6640625" style="1" customWidth="1"/>
    <col min="10526" max="10526" width="5.6640625" style="1" customWidth="1"/>
    <col min="10527" max="10527" width="2.33203125" style="1" customWidth="1"/>
    <col min="10528" max="10757" width="9.109375" style="1"/>
    <col min="10758" max="10758" width="2.33203125" style="1" customWidth="1"/>
    <col min="10759" max="10759" width="20.5546875" style="1" customWidth="1"/>
    <col min="10760" max="10760" width="1.6640625" style="1" customWidth="1"/>
    <col min="10761" max="10761" width="13.109375" style="1" customWidth="1"/>
    <col min="10762" max="10772" width="13.6640625" style="1" customWidth="1"/>
    <col min="10773" max="10774" width="0" style="1" hidden="1" customWidth="1"/>
    <col min="10775" max="10775" width="1.6640625" style="1" customWidth="1"/>
    <col min="10776" max="10776" width="12.6640625" style="1" customWidth="1"/>
    <col min="10777" max="10777" width="7.5546875" style="1" customWidth="1"/>
    <col min="10778" max="10778" width="1.6640625" style="1" customWidth="1"/>
    <col min="10779" max="10781" width="14.6640625" style="1" customWidth="1"/>
    <col min="10782" max="10782" width="5.6640625" style="1" customWidth="1"/>
    <col min="10783" max="10783" width="2.33203125" style="1" customWidth="1"/>
    <col min="10784" max="11013" width="9.109375" style="1"/>
    <col min="11014" max="11014" width="2.33203125" style="1" customWidth="1"/>
    <col min="11015" max="11015" width="20.5546875" style="1" customWidth="1"/>
    <col min="11016" max="11016" width="1.6640625" style="1" customWidth="1"/>
    <col min="11017" max="11017" width="13.109375" style="1" customWidth="1"/>
    <col min="11018" max="11028" width="13.6640625" style="1" customWidth="1"/>
    <col min="11029" max="11030" width="0" style="1" hidden="1" customWidth="1"/>
    <col min="11031" max="11031" width="1.6640625" style="1" customWidth="1"/>
    <col min="11032" max="11032" width="12.6640625" style="1" customWidth="1"/>
    <col min="11033" max="11033" width="7.5546875" style="1" customWidth="1"/>
    <col min="11034" max="11034" width="1.6640625" style="1" customWidth="1"/>
    <col min="11035" max="11037" width="14.6640625" style="1" customWidth="1"/>
    <col min="11038" max="11038" width="5.6640625" style="1" customWidth="1"/>
    <col min="11039" max="11039" width="2.33203125" style="1" customWidth="1"/>
    <col min="11040" max="11269" width="9.109375" style="1"/>
    <col min="11270" max="11270" width="2.33203125" style="1" customWidth="1"/>
    <col min="11271" max="11271" width="20.5546875" style="1" customWidth="1"/>
    <col min="11272" max="11272" width="1.6640625" style="1" customWidth="1"/>
    <col min="11273" max="11273" width="13.109375" style="1" customWidth="1"/>
    <col min="11274" max="11284" width="13.6640625" style="1" customWidth="1"/>
    <col min="11285" max="11286" width="0" style="1" hidden="1" customWidth="1"/>
    <col min="11287" max="11287" width="1.6640625" style="1" customWidth="1"/>
    <col min="11288" max="11288" width="12.6640625" style="1" customWidth="1"/>
    <col min="11289" max="11289" width="7.5546875" style="1" customWidth="1"/>
    <col min="11290" max="11290" width="1.6640625" style="1" customWidth="1"/>
    <col min="11291" max="11293" width="14.6640625" style="1" customWidth="1"/>
    <col min="11294" max="11294" width="5.6640625" style="1" customWidth="1"/>
    <col min="11295" max="11295" width="2.33203125" style="1" customWidth="1"/>
    <col min="11296" max="11525" width="9.109375" style="1"/>
    <col min="11526" max="11526" width="2.33203125" style="1" customWidth="1"/>
    <col min="11527" max="11527" width="20.5546875" style="1" customWidth="1"/>
    <col min="11528" max="11528" width="1.6640625" style="1" customWidth="1"/>
    <col min="11529" max="11529" width="13.109375" style="1" customWidth="1"/>
    <col min="11530" max="11540" width="13.6640625" style="1" customWidth="1"/>
    <col min="11541" max="11542" width="0" style="1" hidden="1" customWidth="1"/>
    <col min="11543" max="11543" width="1.6640625" style="1" customWidth="1"/>
    <col min="11544" max="11544" width="12.6640625" style="1" customWidth="1"/>
    <col min="11545" max="11545" width="7.5546875" style="1" customWidth="1"/>
    <col min="11546" max="11546" width="1.6640625" style="1" customWidth="1"/>
    <col min="11547" max="11549" width="14.6640625" style="1" customWidth="1"/>
    <col min="11550" max="11550" width="5.6640625" style="1" customWidth="1"/>
    <col min="11551" max="11551" width="2.33203125" style="1" customWidth="1"/>
    <col min="11552" max="11781" width="9.109375" style="1"/>
    <col min="11782" max="11782" width="2.33203125" style="1" customWidth="1"/>
    <col min="11783" max="11783" width="20.5546875" style="1" customWidth="1"/>
    <col min="11784" max="11784" width="1.6640625" style="1" customWidth="1"/>
    <col min="11785" max="11785" width="13.109375" style="1" customWidth="1"/>
    <col min="11786" max="11796" width="13.6640625" style="1" customWidth="1"/>
    <col min="11797" max="11798" width="0" style="1" hidden="1" customWidth="1"/>
    <col min="11799" max="11799" width="1.6640625" style="1" customWidth="1"/>
    <col min="11800" max="11800" width="12.6640625" style="1" customWidth="1"/>
    <col min="11801" max="11801" width="7.5546875" style="1" customWidth="1"/>
    <col min="11802" max="11802" width="1.6640625" style="1" customWidth="1"/>
    <col min="11803" max="11805" width="14.6640625" style="1" customWidth="1"/>
    <col min="11806" max="11806" width="5.6640625" style="1" customWidth="1"/>
    <col min="11807" max="11807" width="2.33203125" style="1" customWidth="1"/>
    <col min="11808" max="12037" width="9.109375" style="1"/>
    <col min="12038" max="12038" width="2.33203125" style="1" customWidth="1"/>
    <col min="12039" max="12039" width="20.5546875" style="1" customWidth="1"/>
    <col min="12040" max="12040" width="1.6640625" style="1" customWidth="1"/>
    <col min="12041" max="12041" width="13.109375" style="1" customWidth="1"/>
    <col min="12042" max="12052" width="13.6640625" style="1" customWidth="1"/>
    <col min="12053" max="12054" width="0" style="1" hidden="1" customWidth="1"/>
    <col min="12055" max="12055" width="1.6640625" style="1" customWidth="1"/>
    <col min="12056" max="12056" width="12.6640625" style="1" customWidth="1"/>
    <col min="12057" max="12057" width="7.5546875" style="1" customWidth="1"/>
    <col min="12058" max="12058" width="1.6640625" style="1" customWidth="1"/>
    <col min="12059" max="12061" width="14.6640625" style="1" customWidth="1"/>
    <col min="12062" max="12062" width="5.6640625" style="1" customWidth="1"/>
    <col min="12063" max="12063" width="2.33203125" style="1" customWidth="1"/>
    <col min="12064" max="12293" width="9.109375" style="1"/>
    <col min="12294" max="12294" width="2.33203125" style="1" customWidth="1"/>
    <col min="12295" max="12295" width="20.5546875" style="1" customWidth="1"/>
    <col min="12296" max="12296" width="1.6640625" style="1" customWidth="1"/>
    <col min="12297" max="12297" width="13.109375" style="1" customWidth="1"/>
    <col min="12298" max="12308" width="13.6640625" style="1" customWidth="1"/>
    <col min="12309" max="12310" width="0" style="1" hidden="1" customWidth="1"/>
    <col min="12311" max="12311" width="1.6640625" style="1" customWidth="1"/>
    <col min="12312" max="12312" width="12.6640625" style="1" customWidth="1"/>
    <col min="12313" max="12313" width="7.5546875" style="1" customWidth="1"/>
    <col min="12314" max="12314" width="1.6640625" style="1" customWidth="1"/>
    <col min="12315" max="12317" width="14.6640625" style="1" customWidth="1"/>
    <col min="12318" max="12318" width="5.6640625" style="1" customWidth="1"/>
    <col min="12319" max="12319" width="2.33203125" style="1" customWidth="1"/>
    <col min="12320" max="12549" width="9.109375" style="1"/>
    <col min="12550" max="12550" width="2.33203125" style="1" customWidth="1"/>
    <col min="12551" max="12551" width="20.5546875" style="1" customWidth="1"/>
    <col min="12552" max="12552" width="1.6640625" style="1" customWidth="1"/>
    <col min="12553" max="12553" width="13.109375" style="1" customWidth="1"/>
    <col min="12554" max="12564" width="13.6640625" style="1" customWidth="1"/>
    <col min="12565" max="12566" width="0" style="1" hidden="1" customWidth="1"/>
    <col min="12567" max="12567" width="1.6640625" style="1" customWidth="1"/>
    <col min="12568" max="12568" width="12.6640625" style="1" customWidth="1"/>
    <col min="12569" max="12569" width="7.5546875" style="1" customWidth="1"/>
    <col min="12570" max="12570" width="1.6640625" style="1" customWidth="1"/>
    <col min="12571" max="12573" width="14.6640625" style="1" customWidth="1"/>
    <col min="12574" max="12574" width="5.6640625" style="1" customWidth="1"/>
    <col min="12575" max="12575" width="2.33203125" style="1" customWidth="1"/>
    <col min="12576" max="12805" width="9.109375" style="1"/>
    <col min="12806" max="12806" width="2.33203125" style="1" customWidth="1"/>
    <col min="12807" max="12807" width="20.5546875" style="1" customWidth="1"/>
    <col min="12808" max="12808" width="1.6640625" style="1" customWidth="1"/>
    <col min="12809" max="12809" width="13.109375" style="1" customWidth="1"/>
    <col min="12810" max="12820" width="13.6640625" style="1" customWidth="1"/>
    <col min="12821" max="12822" width="0" style="1" hidden="1" customWidth="1"/>
    <col min="12823" max="12823" width="1.6640625" style="1" customWidth="1"/>
    <col min="12824" max="12824" width="12.6640625" style="1" customWidth="1"/>
    <col min="12825" max="12825" width="7.5546875" style="1" customWidth="1"/>
    <col min="12826" max="12826" width="1.6640625" style="1" customWidth="1"/>
    <col min="12827" max="12829" width="14.6640625" style="1" customWidth="1"/>
    <col min="12830" max="12830" width="5.6640625" style="1" customWidth="1"/>
    <col min="12831" max="12831" width="2.33203125" style="1" customWidth="1"/>
    <col min="12832" max="13061" width="9.109375" style="1"/>
    <col min="13062" max="13062" width="2.33203125" style="1" customWidth="1"/>
    <col min="13063" max="13063" width="20.5546875" style="1" customWidth="1"/>
    <col min="13064" max="13064" width="1.6640625" style="1" customWidth="1"/>
    <col min="13065" max="13065" width="13.109375" style="1" customWidth="1"/>
    <col min="13066" max="13076" width="13.6640625" style="1" customWidth="1"/>
    <col min="13077" max="13078" width="0" style="1" hidden="1" customWidth="1"/>
    <col min="13079" max="13079" width="1.6640625" style="1" customWidth="1"/>
    <col min="13080" max="13080" width="12.6640625" style="1" customWidth="1"/>
    <col min="13081" max="13081" width="7.5546875" style="1" customWidth="1"/>
    <col min="13082" max="13082" width="1.6640625" style="1" customWidth="1"/>
    <col min="13083" max="13085" width="14.6640625" style="1" customWidth="1"/>
    <col min="13086" max="13086" width="5.6640625" style="1" customWidth="1"/>
    <col min="13087" max="13087" width="2.33203125" style="1" customWidth="1"/>
    <col min="13088" max="13317" width="9.109375" style="1"/>
    <col min="13318" max="13318" width="2.33203125" style="1" customWidth="1"/>
    <col min="13319" max="13319" width="20.5546875" style="1" customWidth="1"/>
    <col min="13320" max="13320" width="1.6640625" style="1" customWidth="1"/>
    <col min="13321" max="13321" width="13.109375" style="1" customWidth="1"/>
    <col min="13322" max="13332" width="13.6640625" style="1" customWidth="1"/>
    <col min="13333" max="13334" width="0" style="1" hidden="1" customWidth="1"/>
    <col min="13335" max="13335" width="1.6640625" style="1" customWidth="1"/>
    <col min="13336" max="13336" width="12.6640625" style="1" customWidth="1"/>
    <col min="13337" max="13337" width="7.5546875" style="1" customWidth="1"/>
    <col min="13338" max="13338" width="1.6640625" style="1" customWidth="1"/>
    <col min="13339" max="13341" width="14.6640625" style="1" customWidth="1"/>
    <col min="13342" max="13342" width="5.6640625" style="1" customWidth="1"/>
    <col min="13343" max="13343" width="2.33203125" style="1" customWidth="1"/>
    <col min="13344" max="13573" width="9.109375" style="1"/>
    <col min="13574" max="13574" width="2.33203125" style="1" customWidth="1"/>
    <col min="13575" max="13575" width="20.5546875" style="1" customWidth="1"/>
    <col min="13576" max="13576" width="1.6640625" style="1" customWidth="1"/>
    <col min="13577" max="13577" width="13.109375" style="1" customWidth="1"/>
    <col min="13578" max="13588" width="13.6640625" style="1" customWidth="1"/>
    <col min="13589" max="13590" width="0" style="1" hidden="1" customWidth="1"/>
    <col min="13591" max="13591" width="1.6640625" style="1" customWidth="1"/>
    <col min="13592" max="13592" width="12.6640625" style="1" customWidth="1"/>
    <col min="13593" max="13593" width="7.5546875" style="1" customWidth="1"/>
    <col min="13594" max="13594" width="1.6640625" style="1" customWidth="1"/>
    <col min="13595" max="13597" width="14.6640625" style="1" customWidth="1"/>
    <col min="13598" max="13598" width="5.6640625" style="1" customWidth="1"/>
    <col min="13599" max="13599" width="2.33203125" style="1" customWidth="1"/>
    <col min="13600" max="13829" width="9.109375" style="1"/>
    <col min="13830" max="13830" width="2.33203125" style="1" customWidth="1"/>
    <col min="13831" max="13831" width="20.5546875" style="1" customWidth="1"/>
    <col min="13832" max="13832" width="1.6640625" style="1" customWidth="1"/>
    <col min="13833" max="13833" width="13.109375" style="1" customWidth="1"/>
    <col min="13834" max="13844" width="13.6640625" style="1" customWidth="1"/>
    <col min="13845" max="13846" width="0" style="1" hidden="1" customWidth="1"/>
    <col min="13847" max="13847" width="1.6640625" style="1" customWidth="1"/>
    <col min="13848" max="13848" width="12.6640625" style="1" customWidth="1"/>
    <col min="13849" max="13849" width="7.5546875" style="1" customWidth="1"/>
    <col min="13850" max="13850" width="1.6640625" style="1" customWidth="1"/>
    <col min="13851" max="13853" width="14.6640625" style="1" customWidth="1"/>
    <col min="13854" max="13854" width="5.6640625" style="1" customWidth="1"/>
    <col min="13855" max="13855" width="2.33203125" style="1" customWidth="1"/>
    <col min="13856" max="14085" width="9.109375" style="1"/>
    <col min="14086" max="14086" width="2.33203125" style="1" customWidth="1"/>
    <col min="14087" max="14087" width="20.5546875" style="1" customWidth="1"/>
    <col min="14088" max="14088" width="1.6640625" style="1" customWidth="1"/>
    <col min="14089" max="14089" width="13.109375" style="1" customWidth="1"/>
    <col min="14090" max="14100" width="13.6640625" style="1" customWidth="1"/>
    <col min="14101" max="14102" width="0" style="1" hidden="1" customWidth="1"/>
    <col min="14103" max="14103" width="1.6640625" style="1" customWidth="1"/>
    <col min="14104" max="14104" width="12.6640625" style="1" customWidth="1"/>
    <col min="14105" max="14105" width="7.5546875" style="1" customWidth="1"/>
    <col min="14106" max="14106" width="1.6640625" style="1" customWidth="1"/>
    <col min="14107" max="14109" width="14.6640625" style="1" customWidth="1"/>
    <col min="14110" max="14110" width="5.6640625" style="1" customWidth="1"/>
    <col min="14111" max="14111" width="2.33203125" style="1" customWidth="1"/>
    <col min="14112" max="14341" width="9.109375" style="1"/>
    <col min="14342" max="14342" width="2.33203125" style="1" customWidth="1"/>
    <col min="14343" max="14343" width="20.5546875" style="1" customWidth="1"/>
    <col min="14344" max="14344" width="1.6640625" style="1" customWidth="1"/>
    <col min="14345" max="14345" width="13.109375" style="1" customWidth="1"/>
    <col min="14346" max="14356" width="13.6640625" style="1" customWidth="1"/>
    <col min="14357" max="14358" width="0" style="1" hidden="1" customWidth="1"/>
    <col min="14359" max="14359" width="1.6640625" style="1" customWidth="1"/>
    <col min="14360" max="14360" width="12.6640625" style="1" customWidth="1"/>
    <col min="14361" max="14361" width="7.5546875" style="1" customWidth="1"/>
    <col min="14362" max="14362" width="1.6640625" style="1" customWidth="1"/>
    <col min="14363" max="14365" width="14.6640625" style="1" customWidth="1"/>
    <col min="14366" max="14366" width="5.6640625" style="1" customWidth="1"/>
    <col min="14367" max="14367" width="2.33203125" style="1" customWidth="1"/>
    <col min="14368" max="14597" width="9.109375" style="1"/>
    <col min="14598" max="14598" width="2.33203125" style="1" customWidth="1"/>
    <col min="14599" max="14599" width="20.5546875" style="1" customWidth="1"/>
    <col min="14600" max="14600" width="1.6640625" style="1" customWidth="1"/>
    <col min="14601" max="14601" width="13.109375" style="1" customWidth="1"/>
    <col min="14602" max="14612" width="13.6640625" style="1" customWidth="1"/>
    <col min="14613" max="14614" width="0" style="1" hidden="1" customWidth="1"/>
    <col min="14615" max="14615" width="1.6640625" style="1" customWidth="1"/>
    <col min="14616" max="14616" width="12.6640625" style="1" customWidth="1"/>
    <col min="14617" max="14617" width="7.5546875" style="1" customWidth="1"/>
    <col min="14618" max="14618" width="1.6640625" style="1" customWidth="1"/>
    <col min="14619" max="14621" width="14.6640625" style="1" customWidth="1"/>
    <col min="14622" max="14622" width="5.6640625" style="1" customWidth="1"/>
    <col min="14623" max="14623" width="2.33203125" style="1" customWidth="1"/>
    <col min="14624" max="14853" width="9.109375" style="1"/>
    <col min="14854" max="14854" width="2.33203125" style="1" customWidth="1"/>
    <col min="14855" max="14855" width="20.5546875" style="1" customWidth="1"/>
    <col min="14856" max="14856" width="1.6640625" style="1" customWidth="1"/>
    <col min="14857" max="14857" width="13.109375" style="1" customWidth="1"/>
    <col min="14858" max="14868" width="13.6640625" style="1" customWidth="1"/>
    <col min="14869" max="14870" width="0" style="1" hidden="1" customWidth="1"/>
    <col min="14871" max="14871" width="1.6640625" style="1" customWidth="1"/>
    <col min="14872" max="14872" width="12.6640625" style="1" customWidth="1"/>
    <col min="14873" max="14873" width="7.5546875" style="1" customWidth="1"/>
    <col min="14874" max="14874" width="1.6640625" style="1" customWidth="1"/>
    <col min="14875" max="14877" width="14.6640625" style="1" customWidth="1"/>
    <col min="14878" max="14878" width="5.6640625" style="1" customWidth="1"/>
    <col min="14879" max="14879" width="2.33203125" style="1" customWidth="1"/>
    <col min="14880" max="15109" width="9.109375" style="1"/>
    <col min="15110" max="15110" width="2.33203125" style="1" customWidth="1"/>
    <col min="15111" max="15111" width="20.5546875" style="1" customWidth="1"/>
    <col min="15112" max="15112" width="1.6640625" style="1" customWidth="1"/>
    <col min="15113" max="15113" width="13.109375" style="1" customWidth="1"/>
    <col min="15114" max="15124" width="13.6640625" style="1" customWidth="1"/>
    <col min="15125" max="15126" width="0" style="1" hidden="1" customWidth="1"/>
    <col min="15127" max="15127" width="1.6640625" style="1" customWidth="1"/>
    <col min="15128" max="15128" width="12.6640625" style="1" customWidth="1"/>
    <col min="15129" max="15129" width="7.5546875" style="1" customWidth="1"/>
    <col min="15130" max="15130" width="1.6640625" style="1" customWidth="1"/>
    <col min="15131" max="15133" width="14.6640625" style="1" customWidth="1"/>
    <col min="15134" max="15134" width="5.6640625" style="1" customWidth="1"/>
    <col min="15135" max="15135" width="2.33203125" style="1" customWidth="1"/>
    <col min="15136" max="15365" width="9.109375" style="1"/>
    <col min="15366" max="15366" width="2.33203125" style="1" customWidth="1"/>
    <col min="15367" max="15367" width="20.5546875" style="1" customWidth="1"/>
    <col min="15368" max="15368" width="1.6640625" style="1" customWidth="1"/>
    <col min="15369" max="15369" width="13.109375" style="1" customWidth="1"/>
    <col min="15370" max="15380" width="13.6640625" style="1" customWidth="1"/>
    <col min="15381" max="15382" width="0" style="1" hidden="1" customWidth="1"/>
    <col min="15383" max="15383" width="1.6640625" style="1" customWidth="1"/>
    <col min="15384" max="15384" width="12.6640625" style="1" customWidth="1"/>
    <col min="15385" max="15385" width="7.5546875" style="1" customWidth="1"/>
    <col min="15386" max="15386" width="1.6640625" style="1" customWidth="1"/>
    <col min="15387" max="15389" width="14.6640625" style="1" customWidth="1"/>
    <col min="15390" max="15390" width="5.6640625" style="1" customWidth="1"/>
    <col min="15391" max="15391" width="2.33203125" style="1" customWidth="1"/>
    <col min="15392" max="15621" width="9.109375" style="1"/>
    <col min="15622" max="15622" width="2.33203125" style="1" customWidth="1"/>
    <col min="15623" max="15623" width="20.5546875" style="1" customWidth="1"/>
    <col min="15624" max="15624" width="1.6640625" style="1" customWidth="1"/>
    <col min="15625" max="15625" width="13.109375" style="1" customWidth="1"/>
    <col min="15626" max="15636" width="13.6640625" style="1" customWidth="1"/>
    <col min="15637" max="15638" width="0" style="1" hidden="1" customWidth="1"/>
    <col min="15639" max="15639" width="1.6640625" style="1" customWidth="1"/>
    <col min="15640" max="15640" width="12.6640625" style="1" customWidth="1"/>
    <col min="15641" max="15641" width="7.5546875" style="1" customWidth="1"/>
    <col min="15642" max="15642" width="1.6640625" style="1" customWidth="1"/>
    <col min="15643" max="15645" width="14.6640625" style="1" customWidth="1"/>
    <col min="15646" max="15646" width="5.6640625" style="1" customWidth="1"/>
    <col min="15647" max="15647" width="2.33203125" style="1" customWidth="1"/>
    <col min="15648" max="15877" width="9.109375" style="1"/>
    <col min="15878" max="15878" width="2.33203125" style="1" customWidth="1"/>
    <col min="15879" max="15879" width="20.5546875" style="1" customWidth="1"/>
    <col min="15880" max="15880" width="1.6640625" style="1" customWidth="1"/>
    <col min="15881" max="15881" width="13.109375" style="1" customWidth="1"/>
    <col min="15882" max="15892" width="13.6640625" style="1" customWidth="1"/>
    <col min="15893" max="15894" width="0" style="1" hidden="1" customWidth="1"/>
    <col min="15895" max="15895" width="1.6640625" style="1" customWidth="1"/>
    <col min="15896" max="15896" width="12.6640625" style="1" customWidth="1"/>
    <col min="15897" max="15897" width="7.5546875" style="1" customWidth="1"/>
    <col min="15898" max="15898" width="1.6640625" style="1" customWidth="1"/>
    <col min="15899" max="15901" width="14.6640625" style="1" customWidth="1"/>
    <col min="15902" max="15902" width="5.6640625" style="1" customWidth="1"/>
    <col min="15903" max="15903" width="2.33203125" style="1" customWidth="1"/>
    <col min="15904" max="16133" width="9.109375" style="1"/>
    <col min="16134" max="16134" width="2.33203125" style="1" customWidth="1"/>
    <col min="16135" max="16135" width="20.5546875" style="1" customWidth="1"/>
    <col min="16136" max="16136" width="1.6640625" style="1" customWidth="1"/>
    <col min="16137" max="16137" width="13.109375" style="1" customWidth="1"/>
    <col min="16138" max="16148" width="13.6640625" style="1" customWidth="1"/>
    <col min="16149" max="16150" width="0" style="1" hidden="1" customWidth="1"/>
    <col min="16151" max="16151" width="1.6640625" style="1" customWidth="1"/>
    <col min="16152" max="16152" width="12.6640625" style="1" customWidth="1"/>
    <col min="16153" max="16153" width="7.5546875" style="1" customWidth="1"/>
    <col min="16154" max="16154" width="1.6640625" style="1" customWidth="1"/>
    <col min="16155" max="16157" width="14.6640625" style="1" customWidth="1"/>
    <col min="16158" max="16158" width="5.6640625" style="1" customWidth="1"/>
    <col min="16159" max="16159" width="2.33203125" style="1" customWidth="1"/>
    <col min="16160" max="16384" width="9.109375" style="1"/>
  </cols>
  <sheetData>
    <row r="1" spans="2:30" x14ac:dyDescent="0.25">
      <c r="B1" s="2" t="s">
        <v>139</v>
      </c>
      <c r="P1" s="4"/>
      <c r="Q1" s="4"/>
      <c r="R1" s="4"/>
      <c r="S1" s="4"/>
    </row>
    <row r="2" spans="2:30" s="7" customFormat="1" ht="5.0999999999999996" customHeight="1" x14ac:dyDescent="0.25"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  <c r="V2" s="9"/>
      <c r="W2" s="10"/>
      <c r="X2" s="9"/>
      <c r="Y2" s="9"/>
      <c r="Z2" s="10"/>
      <c r="AA2" s="9"/>
      <c r="AB2" s="9"/>
      <c r="AC2" s="9"/>
    </row>
    <row r="3" spans="2:30" s="7" customFormat="1" x14ac:dyDescent="0.25">
      <c r="B3" s="11" t="s">
        <v>0</v>
      </c>
      <c r="C3" s="8"/>
      <c r="D3" s="12" t="s">
        <v>140</v>
      </c>
      <c r="E3" s="12" t="s">
        <v>143</v>
      </c>
      <c r="F3" s="147" t="s">
        <v>141</v>
      </c>
      <c r="G3" s="12" t="s">
        <v>1</v>
      </c>
      <c r="H3" s="12" t="s">
        <v>2</v>
      </c>
      <c r="I3" s="147" t="s">
        <v>111</v>
      </c>
      <c r="J3" s="12" t="s">
        <v>109</v>
      </c>
      <c r="K3" s="165" t="s">
        <v>112</v>
      </c>
      <c r="L3" s="12" t="s">
        <v>3</v>
      </c>
      <c r="M3" s="12" t="s">
        <v>4</v>
      </c>
      <c r="N3" s="12" t="s">
        <v>5</v>
      </c>
      <c r="O3" s="12" t="s">
        <v>6</v>
      </c>
      <c r="P3" s="12" t="s">
        <v>7</v>
      </c>
      <c r="Q3" s="12" t="s">
        <v>8</v>
      </c>
      <c r="R3" s="12" t="s">
        <v>9</v>
      </c>
      <c r="S3" s="13" t="s">
        <v>10</v>
      </c>
      <c r="T3" s="14" t="s">
        <v>11</v>
      </c>
      <c r="U3" s="15" t="s">
        <v>12</v>
      </c>
      <c r="V3" s="15" t="s">
        <v>13</v>
      </c>
      <c r="W3" s="10"/>
      <c r="X3" s="789" t="s">
        <v>14</v>
      </c>
      <c r="Y3" s="790"/>
      <c r="Z3" s="10"/>
    </row>
    <row r="4" spans="2:30" ht="5.0999999999999996" customHeight="1" x14ac:dyDescent="0.25">
      <c r="D4" s="5"/>
      <c r="E4" s="5"/>
      <c r="F4" s="154"/>
      <c r="G4" s="5"/>
      <c r="H4" s="5"/>
      <c r="I4" s="154"/>
      <c r="J4" s="5"/>
      <c r="K4" s="5"/>
      <c r="L4" s="5"/>
      <c r="M4" s="5"/>
      <c r="N4" s="5"/>
      <c r="O4" s="5"/>
      <c r="P4" s="5"/>
      <c r="Q4" s="5"/>
      <c r="R4" s="5"/>
      <c r="S4" s="5"/>
    </row>
    <row r="5" spans="2:30" x14ac:dyDescent="0.25">
      <c r="B5" s="16" t="s">
        <v>15</v>
      </c>
      <c r="D5" s="17">
        <f>D41</f>
        <v>3073618</v>
      </c>
      <c r="E5" s="17">
        <f>E41</f>
        <v>2730915.36</v>
      </c>
      <c r="F5" s="158">
        <f>D5-E5</f>
        <v>342702.64000000013</v>
      </c>
      <c r="G5" s="17">
        <v>2827475</v>
      </c>
      <c r="H5" s="17">
        <f>H41</f>
        <v>2588050</v>
      </c>
      <c r="I5" s="158">
        <f>G5-H5</f>
        <v>239425</v>
      </c>
      <c r="J5" s="17">
        <v>3025526</v>
      </c>
      <c r="K5" s="166">
        <f>+G5-J5</f>
        <v>-198051</v>
      </c>
      <c r="L5" s="17">
        <v>2822420.09</v>
      </c>
      <c r="M5" s="17">
        <v>3031936.6966770417</v>
      </c>
      <c r="N5" s="17">
        <f>N41</f>
        <v>2891636.3699999996</v>
      </c>
      <c r="O5" s="17">
        <f t="shared" ref="O5:V5" si="0">O41</f>
        <v>2830631</v>
      </c>
      <c r="P5" s="17">
        <f t="shared" si="0"/>
        <v>2676421</v>
      </c>
      <c r="Q5" s="17">
        <f t="shared" si="0"/>
        <v>2506157</v>
      </c>
      <c r="R5" s="17">
        <f t="shared" si="0"/>
        <v>2607225</v>
      </c>
      <c r="S5" s="17">
        <f t="shared" si="0"/>
        <v>2540084.86</v>
      </c>
      <c r="T5" s="17">
        <f t="shared" si="0"/>
        <v>2619960.0700000008</v>
      </c>
      <c r="U5" s="17">
        <f t="shared" si="0"/>
        <v>2440441.46</v>
      </c>
      <c r="V5" s="17">
        <f t="shared" si="0"/>
        <v>2527094.8499999992</v>
      </c>
      <c r="W5" s="18"/>
      <c r="X5" s="19">
        <f>G5-H5</f>
        <v>239425</v>
      </c>
      <c r="Y5" s="20">
        <f>X5/H5</f>
        <v>9.2511736635690969E-2</v>
      </c>
      <c r="Z5" s="18"/>
      <c r="AD5" s="21"/>
    </row>
    <row r="6" spans="2:30" s="2" customFormat="1" x14ac:dyDescent="0.25">
      <c r="B6" s="22" t="s">
        <v>16</v>
      </c>
      <c r="C6" s="4"/>
      <c r="D6" s="23">
        <f>SUM(D5)</f>
        <v>3073618</v>
      </c>
      <c r="E6" s="23">
        <f>SUM(E5)</f>
        <v>2730915.36</v>
      </c>
      <c r="F6" s="148">
        <f t="shared" ref="F6:F25" si="1">D6-E6</f>
        <v>342702.64000000013</v>
      </c>
      <c r="G6" s="23">
        <f>SUM(G5)</f>
        <v>2827475</v>
      </c>
      <c r="H6" s="23">
        <f>SUM(H5)</f>
        <v>2588050</v>
      </c>
      <c r="I6" s="148">
        <f t="shared" ref="I6:I25" si="2">G6-H6</f>
        <v>239425</v>
      </c>
      <c r="J6" s="23">
        <f>SUM(J5)</f>
        <v>3025526</v>
      </c>
      <c r="K6" s="167">
        <f>SUM(K5)</f>
        <v>-198051</v>
      </c>
      <c r="L6" s="23">
        <v>2822420.09</v>
      </c>
      <c r="M6" s="23">
        <v>3031936.6966770417</v>
      </c>
      <c r="N6" s="23">
        <f>SUM(N5)</f>
        <v>2891636.3699999996</v>
      </c>
      <c r="O6" s="23">
        <f t="shared" ref="O6:V6" si="3">SUM(O5)</f>
        <v>2830631</v>
      </c>
      <c r="P6" s="23">
        <f t="shared" si="3"/>
        <v>2676421</v>
      </c>
      <c r="Q6" s="23">
        <f t="shared" si="3"/>
        <v>2506157</v>
      </c>
      <c r="R6" s="23">
        <f t="shared" si="3"/>
        <v>2607225</v>
      </c>
      <c r="S6" s="23">
        <f t="shared" si="3"/>
        <v>2540084.86</v>
      </c>
      <c r="T6" s="23">
        <f t="shared" si="3"/>
        <v>2619960.0700000008</v>
      </c>
      <c r="U6" s="23">
        <f t="shared" si="3"/>
        <v>2440441.46</v>
      </c>
      <c r="V6" s="24">
        <f t="shared" si="3"/>
        <v>2527094.8499999992</v>
      </c>
      <c r="W6" s="25"/>
      <c r="X6" s="26">
        <f t="shared" ref="X6:X25" si="4">G6-H6</f>
        <v>239425</v>
      </c>
      <c r="Y6" s="27">
        <f>X6/H6</f>
        <v>9.2511736635690969E-2</v>
      </c>
      <c r="Z6" s="25"/>
      <c r="AA6" s="28"/>
      <c r="AB6" s="28"/>
      <c r="AC6" s="28"/>
      <c r="AD6" s="29"/>
    </row>
    <row r="7" spans="2:30" x14ac:dyDescent="0.25">
      <c r="B7" s="30"/>
      <c r="D7" s="31"/>
      <c r="E7" s="31"/>
      <c r="F7" s="148">
        <f t="shared" si="1"/>
        <v>0</v>
      </c>
      <c r="G7" s="31"/>
      <c r="H7" s="31"/>
      <c r="I7" s="148">
        <f t="shared" si="2"/>
        <v>0</v>
      </c>
      <c r="J7" s="31"/>
      <c r="K7" s="168"/>
      <c r="L7" s="31"/>
      <c r="M7" s="31"/>
      <c r="N7" s="31"/>
      <c r="O7" s="31"/>
      <c r="P7" s="31"/>
      <c r="Q7" s="31"/>
      <c r="R7" s="31"/>
      <c r="S7" s="31"/>
      <c r="T7" s="31"/>
      <c r="U7" s="31"/>
      <c r="V7" s="32"/>
      <c r="W7" s="18"/>
      <c r="X7" s="26">
        <f t="shared" si="4"/>
        <v>0</v>
      </c>
      <c r="Y7" s="27"/>
      <c r="Z7" s="18"/>
      <c r="AD7" s="21"/>
    </row>
    <row r="8" spans="2:30" x14ac:dyDescent="0.25">
      <c r="B8" s="30" t="s">
        <v>17</v>
      </c>
      <c r="D8" s="31">
        <f>D51+D65</f>
        <v>1160225.9000000001</v>
      </c>
      <c r="E8" s="31">
        <f>E51+E65</f>
        <v>1061411</v>
      </c>
      <c r="F8" s="148">
        <f t="shared" si="1"/>
        <v>98814.90000000014</v>
      </c>
      <c r="G8" s="31">
        <v>1140816.9060999998</v>
      </c>
      <c r="H8" s="31">
        <f>H51+H65</f>
        <v>1010975</v>
      </c>
      <c r="I8" s="148">
        <f t="shared" si="2"/>
        <v>129841.90609999979</v>
      </c>
      <c r="J8" s="31">
        <v>1088697</v>
      </c>
      <c r="K8" s="168">
        <f t="shared" ref="K8:K12" si="5">+G8-J8</f>
        <v>52119.906099999789</v>
      </c>
      <c r="L8" s="31">
        <v>1034343.2444440001</v>
      </c>
      <c r="M8" s="31">
        <v>1082722.79</v>
      </c>
      <c r="N8" s="31">
        <f>N51+N65</f>
        <v>1014329.7599999999</v>
      </c>
      <c r="O8" s="31">
        <f>O51+O65</f>
        <v>982265</v>
      </c>
      <c r="P8" s="31">
        <f>P51+P65</f>
        <v>876903</v>
      </c>
      <c r="Q8" s="31">
        <f t="shared" ref="Q8:V8" si="6">Q51+Q65</f>
        <v>727173</v>
      </c>
      <c r="R8" s="31">
        <f t="shared" si="6"/>
        <v>712479</v>
      </c>
      <c r="S8" s="31">
        <f t="shared" si="6"/>
        <v>713560.67999999993</v>
      </c>
      <c r="T8" s="31">
        <f t="shared" si="6"/>
        <v>716645.91999999993</v>
      </c>
      <c r="U8" s="31">
        <f t="shared" si="6"/>
        <v>698327.63</v>
      </c>
      <c r="V8" s="31">
        <f t="shared" si="6"/>
        <v>601463.12</v>
      </c>
      <c r="W8" s="18"/>
      <c r="X8" s="26">
        <f t="shared" si="4"/>
        <v>129841.90609999979</v>
      </c>
      <c r="Y8" s="27">
        <f t="shared" ref="Y8:Y13" si="7">X8/H8</f>
        <v>0.12843236093869759</v>
      </c>
      <c r="Z8" s="18"/>
      <c r="AD8" s="21"/>
    </row>
    <row r="9" spans="2:30" x14ac:dyDescent="0.25">
      <c r="B9" s="30" t="s">
        <v>18</v>
      </c>
      <c r="D9" s="31">
        <f>D83+D103</f>
        <v>1170801.28</v>
      </c>
      <c r="E9" s="31">
        <f>E83+E103</f>
        <v>917709.14999999991</v>
      </c>
      <c r="F9" s="148">
        <f t="shared" si="1"/>
        <v>253092.13000000012</v>
      </c>
      <c r="G9" s="31">
        <v>1099121.3400000003</v>
      </c>
      <c r="H9" s="31">
        <f>H83+H103</f>
        <v>644808</v>
      </c>
      <c r="I9" s="148">
        <f t="shared" si="2"/>
        <v>454313.34000000032</v>
      </c>
      <c r="J9" s="31">
        <v>1099990</v>
      </c>
      <c r="K9" s="168">
        <f t="shared" si="5"/>
        <v>-868.65999999968335</v>
      </c>
      <c r="L9" s="31">
        <v>1058935.5349999999</v>
      </c>
      <c r="M9" s="31">
        <v>1145905.8500000001</v>
      </c>
      <c r="N9" s="31">
        <f>N83+N103</f>
        <v>1116228.8</v>
      </c>
      <c r="O9" s="31">
        <f>O83+O103</f>
        <v>1173498</v>
      </c>
      <c r="P9" s="31">
        <f>P83+P103</f>
        <v>1174476</v>
      </c>
      <c r="Q9" s="31">
        <f t="shared" ref="Q9:V9" si="8">Q83+Q103</f>
        <v>1183518</v>
      </c>
      <c r="R9" s="31">
        <f t="shared" si="8"/>
        <v>1247781</v>
      </c>
      <c r="S9" s="31">
        <f t="shared" si="8"/>
        <v>1301540.4800000002</v>
      </c>
      <c r="T9" s="31">
        <f t="shared" si="8"/>
        <v>1227861.96</v>
      </c>
      <c r="U9" s="31">
        <f t="shared" si="8"/>
        <v>1200332.8900000001</v>
      </c>
      <c r="V9" s="31">
        <f t="shared" si="8"/>
        <v>1284277.8799999999</v>
      </c>
      <c r="W9" s="18"/>
      <c r="X9" s="26">
        <f t="shared" si="4"/>
        <v>454313.34000000032</v>
      </c>
      <c r="Y9" s="27">
        <f t="shared" si="7"/>
        <v>0.70457150035359417</v>
      </c>
      <c r="Z9" s="18"/>
      <c r="AD9" s="21"/>
    </row>
    <row r="10" spans="2:30" x14ac:dyDescent="0.25">
      <c r="B10" s="30" t="s">
        <v>19</v>
      </c>
      <c r="D10" s="31">
        <f>D119+D133</f>
        <v>431094.75</v>
      </c>
      <c r="E10" s="31">
        <f>E119+E133</f>
        <v>364865.12866644404</v>
      </c>
      <c r="F10" s="148">
        <f t="shared" si="1"/>
        <v>66229.621333555959</v>
      </c>
      <c r="G10" s="31">
        <v>378189.53999999992</v>
      </c>
      <c r="H10" s="31">
        <f>H119+H133</f>
        <v>223967</v>
      </c>
      <c r="I10" s="148">
        <f t="shared" si="2"/>
        <v>154222.53999999992</v>
      </c>
      <c r="J10" s="31">
        <v>409493</v>
      </c>
      <c r="K10" s="168">
        <f t="shared" si="5"/>
        <v>-31303.460000000079</v>
      </c>
      <c r="L10" s="31">
        <v>403433.6650000001</v>
      </c>
      <c r="M10" s="31">
        <v>382443.99000000005</v>
      </c>
      <c r="N10" s="31">
        <f>N119+N133</f>
        <v>378351.11999999988</v>
      </c>
      <c r="O10" s="31">
        <f>O119+O133</f>
        <v>370209.5</v>
      </c>
      <c r="P10" s="31">
        <f>P119+P133</f>
        <v>365998</v>
      </c>
      <c r="Q10" s="31">
        <f t="shared" ref="Q10:V10" si="9">Q119+Q133</f>
        <v>321111</v>
      </c>
      <c r="R10" s="31">
        <f t="shared" si="9"/>
        <v>362345</v>
      </c>
      <c r="S10" s="31">
        <f t="shared" si="9"/>
        <v>378447.44000000006</v>
      </c>
      <c r="T10" s="31">
        <f t="shared" si="9"/>
        <v>407987.87</v>
      </c>
      <c r="U10" s="31">
        <f t="shared" si="9"/>
        <v>372031.79000000004</v>
      </c>
      <c r="V10" s="31">
        <f t="shared" si="9"/>
        <v>366324.33</v>
      </c>
      <c r="W10" s="18"/>
      <c r="X10" s="26">
        <f t="shared" si="4"/>
        <v>154222.53999999992</v>
      </c>
      <c r="Y10" s="27">
        <f t="shared" si="7"/>
        <v>0.68859492693119928</v>
      </c>
      <c r="Z10" s="18"/>
      <c r="AD10" s="21"/>
    </row>
    <row r="11" spans="2:30" x14ac:dyDescent="0.25">
      <c r="B11" s="30" t="s">
        <v>20</v>
      </c>
      <c r="D11" s="31">
        <f>D154+D160</f>
        <v>82400</v>
      </c>
      <c r="E11" s="31">
        <f>E154+E160</f>
        <v>74251.5</v>
      </c>
      <c r="F11" s="148">
        <f t="shared" si="1"/>
        <v>8148.5</v>
      </c>
      <c r="G11" s="31">
        <v>71291.670000000013</v>
      </c>
      <c r="H11" s="31">
        <f>H154+H160</f>
        <v>54479</v>
      </c>
      <c r="I11" s="148">
        <f t="shared" si="2"/>
        <v>16812.670000000013</v>
      </c>
      <c r="J11" s="31">
        <v>63510</v>
      </c>
      <c r="K11" s="168">
        <f>+G11-J11</f>
        <v>7781.6700000000128</v>
      </c>
      <c r="L11" s="31">
        <v>67591.350000000006</v>
      </c>
      <c r="M11" s="31">
        <v>61728.23</v>
      </c>
      <c r="N11" s="31">
        <f>N154+N160</f>
        <v>67931.76999999999</v>
      </c>
      <c r="O11" s="31">
        <f>O154+O160</f>
        <v>57132</v>
      </c>
      <c r="P11" s="31">
        <f>P154+P160</f>
        <v>57299</v>
      </c>
      <c r="Q11" s="31">
        <f t="shared" ref="Q11:V11" si="10">Q154+Q160</f>
        <v>52477</v>
      </c>
      <c r="R11" s="31">
        <f t="shared" si="10"/>
        <v>38403</v>
      </c>
      <c r="S11" s="31">
        <f t="shared" si="10"/>
        <v>35930.61</v>
      </c>
      <c r="T11" s="31">
        <f t="shared" si="10"/>
        <v>48256</v>
      </c>
      <c r="U11" s="31">
        <f t="shared" si="10"/>
        <v>39644.18</v>
      </c>
      <c r="V11" s="31">
        <f t="shared" si="10"/>
        <v>44376.94</v>
      </c>
      <c r="W11" s="18"/>
      <c r="X11" s="26">
        <f t="shared" si="4"/>
        <v>16812.670000000013</v>
      </c>
      <c r="Y11" s="27">
        <f t="shared" si="7"/>
        <v>0.30860827107692895</v>
      </c>
      <c r="Z11" s="18"/>
      <c r="AD11" s="21"/>
    </row>
    <row r="12" spans="2:30" x14ac:dyDescent="0.25">
      <c r="B12" s="33" t="s">
        <v>21</v>
      </c>
      <c r="D12" s="35">
        <f>D172</f>
        <v>266000</v>
      </c>
      <c r="E12" s="35">
        <f>E172</f>
        <v>283692</v>
      </c>
      <c r="F12" s="149">
        <f t="shared" si="1"/>
        <v>-17692</v>
      </c>
      <c r="G12" s="34">
        <v>198250</v>
      </c>
      <c r="H12" s="35">
        <f>H172</f>
        <v>139546</v>
      </c>
      <c r="I12" s="149">
        <f t="shared" si="2"/>
        <v>58704</v>
      </c>
      <c r="J12" s="146">
        <v>262888</v>
      </c>
      <c r="K12" s="169">
        <f t="shared" si="5"/>
        <v>-64638</v>
      </c>
      <c r="L12" s="34">
        <v>258116.99</v>
      </c>
      <c r="M12" s="34">
        <v>191616.54</v>
      </c>
      <c r="N12" s="34">
        <f>N172</f>
        <v>238312.47</v>
      </c>
      <c r="O12" s="34">
        <f>O172</f>
        <v>185013.5</v>
      </c>
      <c r="P12" s="34">
        <f>P172</f>
        <v>227418</v>
      </c>
      <c r="Q12" s="34">
        <f t="shared" ref="Q12:V12" si="11">Q172</f>
        <v>221640</v>
      </c>
      <c r="R12" s="34">
        <f t="shared" si="11"/>
        <v>240211</v>
      </c>
      <c r="S12" s="34">
        <f t="shared" si="11"/>
        <v>211910.52999999997</v>
      </c>
      <c r="T12" s="34">
        <f t="shared" si="11"/>
        <v>216161.22999999998</v>
      </c>
      <c r="U12" s="34">
        <f t="shared" si="11"/>
        <v>142821.57</v>
      </c>
      <c r="V12" s="34">
        <f t="shared" si="11"/>
        <v>228619.82</v>
      </c>
      <c r="W12" s="18"/>
      <c r="X12" s="35">
        <f t="shared" si="4"/>
        <v>58704</v>
      </c>
      <c r="Y12" s="36">
        <f t="shared" si="7"/>
        <v>0.42067848594728618</v>
      </c>
      <c r="Z12" s="18"/>
      <c r="AD12" s="21"/>
    </row>
    <row r="13" spans="2:30" s="2" customFormat="1" x14ac:dyDescent="0.25">
      <c r="B13" s="22" t="s">
        <v>22</v>
      </c>
      <c r="C13" s="4"/>
      <c r="D13" s="24">
        <f>SUM(D8:D12)</f>
        <v>3110521.93</v>
      </c>
      <c r="E13" s="24">
        <f>SUM(E8:E12)</f>
        <v>2701928.7786664441</v>
      </c>
      <c r="F13" s="152">
        <f t="shared" si="1"/>
        <v>408593.15133355604</v>
      </c>
      <c r="G13" s="24">
        <f>SUM(G8:G12)</f>
        <v>2887669.4561000001</v>
      </c>
      <c r="H13" s="24">
        <f>SUM(H8:H12)</f>
        <v>2073775</v>
      </c>
      <c r="I13" s="152">
        <f t="shared" si="2"/>
        <v>813894.45610000007</v>
      </c>
      <c r="J13" s="24">
        <f>SUM(J8:J12)</f>
        <v>2924578</v>
      </c>
      <c r="K13" s="170">
        <f>SUM(K8:K12)</f>
        <v>-36908.543899999961</v>
      </c>
      <c r="L13" s="24">
        <v>2822420.7844440006</v>
      </c>
      <c r="M13" s="24">
        <v>2864417.4000000004</v>
      </c>
      <c r="N13" s="24">
        <f>SUM(N8:N12)</f>
        <v>2815153.92</v>
      </c>
      <c r="O13" s="24">
        <f>SUM(O8:O12)</f>
        <v>2768118</v>
      </c>
      <c r="P13" s="24">
        <f t="shared" ref="P13:V13" si="12">SUM(P8:P12)</f>
        <v>2702094</v>
      </c>
      <c r="Q13" s="24">
        <f t="shared" si="12"/>
        <v>2505919</v>
      </c>
      <c r="R13" s="24">
        <f t="shared" si="12"/>
        <v>2601219</v>
      </c>
      <c r="S13" s="24">
        <f t="shared" si="12"/>
        <v>2641389.7399999998</v>
      </c>
      <c r="T13" s="24">
        <f t="shared" si="12"/>
        <v>2616912.98</v>
      </c>
      <c r="U13" s="24">
        <f t="shared" si="12"/>
        <v>2453158.06</v>
      </c>
      <c r="V13" s="24">
        <f t="shared" si="12"/>
        <v>2525062.09</v>
      </c>
      <c r="W13" s="25"/>
      <c r="X13" s="26">
        <f t="shared" si="4"/>
        <v>813894.45610000007</v>
      </c>
      <c r="Y13" s="27">
        <f t="shared" si="7"/>
        <v>0.39246999124784515</v>
      </c>
      <c r="Z13" s="25"/>
      <c r="AA13" s="28"/>
      <c r="AB13" s="28"/>
      <c r="AC13" s="28"/>
      <c r="AD13" s="29"/>
    </row>
    <row r="14" spans="2:30" x14ac:dyDescent="0.25">
      <c r="B14" s="30"/>
      <c r="D14" s="31"/>
      <c r="E14" s="31"/>
      <c r="F14" s="148">
        <f t="shared" si="1"/>
        <v>0</v>
      </c>
      <c r="G14" s="31"/>
      <c r="H14" s="31"/>
      <c r="I14" s="148">
        <f t="shared" si="2"/>
        <v>0</v>
      </c>
      <c r="J14" s="31"/>
      <c r="K14" s="168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2"/>
      <c r="W14" s="18"/>
      <c r="X14" s="26">
        <f t="shared" si="4"/>
        <v>0</v>
      </c>
      <c r="Y14" s="27"/>
      <c r="Z14" s="18"/>
      <c r="AD14" s="21"/>
    </row>
    <row r="15" spans="2:30" ht="12" customHeight="1" x14ac:dyDescent="0.25">
      <c r="B15" s="30" t="s">
        <v>23</v>
      </c>
      <c r="D15" s="31">
        <v>-1140358</v>
      </c>
      <c r="E15" s="31">
        <v>-956333</v>
      </c>
      <c r="F15" s="148">
        <f t="shared" si="1"/>
        <v>-184025</v>
      </c>
      <c r="G15" s="31">
        <v>-971514</v>
      </c>
      <c r="H15" s="31">
        <v>-870465</v>
      </c>
      <c r="I15" s="148">
        <f t="shared" si="2"/>
        <v>-101049</v>
      </c>
      <c r="J15" s="31">
        <v>-749079</v>
      </c>
      <c r="K15" s="168">
        <f t="shared" ref="K15:K16" si="13">+G15-J15</f>
        <v>-222435</v>
      </c>
      <c r="L15" s="31">
        <v>667940</v>
      </c>
      <c r="M15" s="31">
        <v>-425800.87</v>
      </c>
      <c r="N15" s="31">
        <v>-495836</v>
      </c>
      <c r="O15" s="31">
        <v>-562706</v>
      </c>
      <c r="P15" s="31">
        <v>-588347</v>
      </c>
      <c r="Q15" s="31">
        <v>-711228.56997812283</v>
      </c>
      <c r="R15" s="31">
        <v>-724315</v>
      </c>
      <c r="S15" s="31">
        <v>-702283</v>
      </c>
      <c r="T15" s="31">
        <v>-796448.62</v>
      </c>
      <c r="U15" s="31">
        <v>-935478.66</v>
      </c>
      <c r="V15" s="32">
        <v>-808439.03</v>
      </c>
      <c r="W15" s="18"/>
      <c r="X15" s="26">
        <f t="shared" si="4"/>
        <v>-101049</v>
      </c>
      <c r="Y15" s="27">
        <f>IF(H15=0,0,X15/H15)</f>
        <v>0.11608622977374163</v>
      </c>
      <c r="Z15" s="18"/>
      <c r="AD15" s="21"/>
    </row>
    <row r="16" spans="2:30" ht="12" customHeight="1" x14ac:dyDescent="0.25">
      <c r="B16" s="30" t="s">
        <v>24</v>
      </c>
      <c r="D16" s="31">
        <f>-D15</f>
        <v>1140358</v>
      </c>
      <c r="E16" s="31">
        <f>-E15</f>
        <v>956333</v>
      </c>
      <c r="F16" s="148">
        <f t="shared" si="1"/>
        <v>184025</v>
      </c>
      <c r="G16" s="31">
        <v>971514</v>
      </c>
      <c r="H16" s="31">
        <v>870465</v>
      </c>
      <c r="I16" s="148">
        <f t="shared" si="2"/>
        <v>101049</v>
      </c>
      <c r="J16" s="31">
        <v>749079</v>
      </c>
      <c r="K16" s="168">
        <f t="shared" si="13"/>
        <v>222435</v>
      </c>
      <c r="L16" s="31">
        <v>-667940</v>
      </c>
      <c r="M16" s="31">
        <v>425800.87</v>
      </c>
      <c r="N16" s="31">
        <f>-N15</f>
        <v>495836</v>
      </c>
      <c r="O16" s="31">
        <v>562706</v>
      </c>
      <c r="P16" s="31">
        <v>588347</v>
      </c>
      <c r="Q16" s="31">
        <v>610756</v>
      </c>
      <c r="R16" s="31">
        <v>621306</v>
      </c>
      <c r="S16" s="31">
        <v>600242</v>
      </c>
      <c r="T16" s="31">
        <v>682022.52</v>
      </c>
      <c r="U16" s="31">
        <v>799741</v>
      </c>
      <c r="V16" s="31">
        <v>697490.83</v>
      </c>
      <c r="W16" s="18"/>
      <c r="X16" s="26">
        <f t="shared" si="4"/>
        <v>101049</v>
      </c>
      <c r="Y16" s="27">
        <f>IF(H16=0,0,X16/H16)</f>
        <v>0.11608622977374163</v>
      </c>
      <c r="Z16" s="18"/>
      <c r="AD16" s="21"/>
    </row>
    <row r="17" spans="2:30" ht="12" customHeight="1" x14ac:dyDescent="0.25">
      <c r="B17" s="33" t="s">
        <v>25</v>
      </c>
      <c r="D17" s="34"/>
      <c r="E17" s="34"/>
      <c r="F17" s="150">
        <f t="shared" si="1"/>
        <v>0</v>
      </c>
      <c r="G17" s="34"/>
      <c r="H17" s="34"/>
      <c r="I17" s="150">
        <f t="shared" si="2"/>
        <v>0</v>
      </c>
      <c r="J17" s="34"/>
      <c r="K17" s="171"/>
      <c r="L17" s="34"/>
      <c r="M17" s="34"/>
      <c r="N17" s="34">
        <f>[5]Assumptions!H169</f>
        <v>0</v>
      </c>
      <c r="O17" s="34"/>
      <c r="P17" s="34"/>
      <c r="Q17" s="34">
        <v>100472.56886935828</v>
      </c>
      <c r="R17" s="34">
        <v>103009</v>
      </c>
      <c r="S17" s="34">
        <v>102041</v>
      </c>
      <c r="T17" s="34">
        <v>114426</v>
      </c>
      <c r="U17" s="34">
        <v>135738</v>
      </c>
      <c r="V17" s="34">
        <v>110948</v>
      </c>
      <c r="W17" s="18"/>
      <c r="X17" s="35">
        <f t="shared" si="4"/>
        <v>0</v>
      </c>
      <c r="Y17" s="36">
        <f>IF(H17=0,0,X17/H17)</f>
        <v>0</v>
      </c>
      <c r="Z17" s="18"/>
      <c r="AD17" s="21"/>
    </row>
    <row r="18" spans="2:30" s="2" customFormat="1" ht="12" customHeight="1" x14ac:dyDescent="0.25">
      <c r="B18" s="22" t="s">
        <v>26</v>
      </c>
      <c r="C18" s="4"/>
      <c r="D18" s="24">
        <f>SUM(D15:D17)</f>
        <v>0</v>
      </c>
      <c r="E18" s="24">
        <f>SUM(E15:E17)</f>
        <v>0</v>
      </c>
      <c r="F18" s="148">
        <f t="shared" si="1"/>
        <v>0</v>
      </c>
      <c r="G18" s="24">
        <f>SUM(G15:G17)</f>
        <v>0</v>
      </c>
      <c r="H18" s="24">
        <f>SUM(H15:H17)</f>
        <v>0</v>
      </c>
      <c r="I18" s="148">
        <f t="shared" si="2"/>
        <v>0</v>
      </c>
      <c r="J18" s="24">
        <f>SUM(J15:J17)</f>
        <v>0</v>
      </c>
      <c r="K18" s="170"/>
      <c r="L18" s="24">
        <v>0</v>
      </c>
      <c r="M18" s="24">
        <v>0</v>
      </c>
      <c r="N18" s="24">
        <f>SUM(N15:N17)</f>
        <v>0</v>
      </c>
      <c r="O18" s="24">
        <f>SUM(O15:O17)</f>
        <v>0</v>
      </c>
      <c r="P18" s="24">
        <f t="shared" ref="P18:V18" si="14">SUM(P15:P17)</f>
        <v>0</v>
      </c>
      <c r="Q18" s="24">
        <f t="shared" si="14"/>
        <v>-1.10876455437392E-3</v>
      </c>
      <c r="R18" s="24">
        <f t="shared" si="14"/>
        <v>0</v>
      </c>
      <c r="S18" s="24">
        <f t="shared" si="14"/>
        <v>0</v>
      </c>
      <c r="T18" s="24">
        <f t="shared" si="14"/>
        <v>-9.9999999976716936E-2</v>
      </c>
      <c r="U18" s="24">
        <f t="shared" si="14"/>
        <v>0.33999999996740371</v>
      </c>
      <c r="V18" s="24">
        <f t="shared" si="14"/>
        <v>-0.20000000006984919</v>
      </c>
      <c r="W18" s="25"/>
      <c r="X18" s="26">
        <f t="shared" si="4"/>
        <v>0</v>
      </c>
      <c r="Y18" s="27">
        <f>IF(H18=0,0,X18/H18)</f>
        <v>0</v>
      </c>
      <c r="Z18" s="25"/>
      <c r="AA18" s="28"/>
      <c r="AB18" s="28"/>
      <c r="AC18" s="28"/>
      <c r="AD18" s="29"/>
    </row>
    <row r="19" spans="2:30" ht="12" customHeight="1" x14ac:dyDescent="0.25">
      <c r="B19" s="30"/>
      <c r="D19" s="31"/>
      <c r="E19" s="31"/>
      <c r="F19" s="148">
        <f t="shared" si="1"/>
        <v>0</v>
      </c>
      <c r="G19" s="31"/>
      <c r="H19" s="31"/>
      <c r="I19" s="148">
        <f t="shared" si="2"/>
        <v>0</v>
      </c>
      <c r="J19" s="31"/>
      <c r="K19" s="168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2"/>
      <c r="W19" s="18"/>
      <c r="X19" s="26">
        <f t="shared" si="4"/>
        <v>0</v>
      </c>
      <c r="Y19" s="27"/>
      <c r="Z19" s="18"/>
      <c r="AD19" s="21"/>
    </row>
    <row r="20" spans="2:30" ht="12" customHeight="1" x14ac:dyDescent="0.25">
      <c r="B20" s="30" t="s">
        <v>27</v>
      </c>
      <c r="D20" s="37">
        <v>-193608</v>
      </c>
      <c r="E20" s="37">
        <v>-145206</v>
      </c>
      <c r="F20" s="148">
        <f t="shared" si="1"/>
        <v>-48402</v>
      </c>
      <c r="G20" s="37">
        <v>-145206</v>
      </c>
      <c r="H20" s="37">
        <v>-32268</v>
      </c>
      <c r="I20" s="148">
        <f t="shared" si="2"/>
        <v>-112938</v>
      </c>
      <c r="J20" s="37">
        <v>-193608</v>
      </c>
      <c r="K20" s="172">
        <f t="shared" ref="K20:K22" si="15">+G20-J20</f>
        <v>48402</v>
      </c>
      <c r="L20" s="37">
        <v>-193608</v>
      </c>
      <c r="M20" s="37">
        <v>-193608</v>
      </c>
      <c r="N20" s="37">
        <f>[5]Assumptions!H192</f>
        <v>-193608</v>
      </c>
      <c r="O20" s="37">
        <f>'[5]FC 2019'!Q34</f>
        <v>-193608</v>
      </c>
      <c r="P20" s="37">
        <f>'[5]FC 2019'!Q34</f>
        <v>-193608</v>
      </c>
      <c r="Q20" s="37">
        <v>-193608</v>
      </c>
      <c r="R20" s="37">
        <v>-125780</v>
      </c>
      <c r="S20" s="37">
        <v>-77328</v>
      </c>
      <c r="T20" s="37">
        <v>-77328</v>
      </c>
      <c r="U20" s="37">
        <v>-77328</v>
      </c>
      <c r="V20" s="37">
        <v>-77328</v>
      </c>
      <c r="W20" s="18"/>
      <c r="X20" s="26">
        <f t="shared" si="4"/>
        <v>-112938</v>
      </c>
      <c r="Y20" s="27">
        <f>X20/H20</f>
        <v>3.5</v>
      </c>
      <c r="Z20" s="18"/>
      <c r="AD20" s="21"/>
    </row>
    <row r="21" spans="2:30" ht="12" customHeight="1" x14ac:dyDescent="0.25">
      <c r="B21" s="30" t="s">
        <v>28</v>
      </c>
      <c r="D21" s="37">
        <v>-322680</v>
      </c>
      <c r="E21" s="37">
        <v>-242010</v>
      </c>
      <c r="F21" s="148">
        <f t="shared" si="1"/>
        <v>-80670</v>
      </c>
      <c r="G21" s="37">
        <v>-242010</v>
      </c>
      <c r="H21" s="37">
        <v>-53780</v>
      </c>
      <c r="I21" s="148">
        <f t="shared" si="2"/>
        <v>-188230</v>
      </c>
      <c r="J21" s="37">
        <v>-322680</v>
      </c>
      <c r="K21" s="172">
        <f t="shared" si="15"/>
        <v>80670</v>
      </c>
      <c r="L21" s="37">
        <v>-322680</v>
      </c>
      <c r="M21" s="37">
        <v>-322680</v>
      </c>
      <c r="N21" s="37">
        <f>[5]Assumptions!H193</f>
        <v>-322680</v>
      </c>
      <c r="O21" s="37">
        <f>'[5]FC 2019'!Q35</f>
        <v>-322680</v>
      </c>
      <c r="P21" s="37">
        <f>'[5]FC 2019'!Q35</f>
        <v>-322680</v>
      </c>
      <c r="Q21" s="37">
        <v>0</v>
      </c>
      <c r="R21" s="37">
        <v>-187201</v>
      </c>
      <c r="S21" s="37">
        <v>-320916</v>
      </c>
      <c r="T21" s="37">
        <v>-307026</v>
      </c>
      <c r="U21" s="37">
        <v>-302484</v>
      </c>
      <c r="V21" s="37">
        <v>-293388</v>
      </c>
      <c r="W21" s="18"/>
      <c r="X21" s="26">
        <f t="shared" si="4"/>
        <v>-188230</v>
      </c>
      <c r="Y21" s="27">
        <f>IF(H21=0,0,X21/H21)</f>
        <v>3.5</v>
      </c>
      <c r="Z21" s="18"/>
      <c r="AD21" s="21"/>
    </row>
    <row r="22" spans="2:30" ht="12" customHeight="1" x14ac:dyDescent="0.25">
      <c r="B22" s="33" t="s">
        <v>29</v>
      </c>
      <c r="D22" s="38">
        <v>516288</v>
      </c>
      <c r="E22" s="38">
        <v>387216</v>
      </c>
      <c r="F22" s="150">
        <f t="shared" si="1"/>
        <v>129072</v>
      </c>
      <c r="G22" s="38">
        <v>387216</v>
      </c>
      <c r="H22" s="38">
        <v>86048</v>
      </c>
      <c r="I22" s="150">
        <f t="shared" si="2"/>
        <v>301168</v>
      </c>
      <c r="J22" s="38">
        <v>516288</v>
      </c>
      <c r="K22" s="173">
        <f t="shared" si="15"/>
        <v>-129072</v>
      </c>
      <c r="L22" s="38">
        <v>516288</v>
      </c>
      <c r="M22" s="38">
        <v>516288</v>
      </c>
      <c r="N22" s="38">
        <f>-N20-N21</f>
        <v>516288</v>
      </c>
      <c r="O22" s="38">
        <f>'[5]FC 2019'!Q36</f>
        <v>516288</v>
      </c>
      <c r="P22" s="38">
        <f>'[5]FC 2019'!Q36</f>
        <v>516288</v>
      </c>
      <c r="Q22" s="38">
        <v>193608</v>
      </c>
      <c r="R22" s="38">
        <v>312981</v>
      </c>
      <c r="S22" s="38">
        <v>398244</v>
      </c>
      <c r="T22" s="38">
        <v>384354</v>
      </c>
      <c r="U22" s="38">
        <v>379812</v>
      </c>
      <c r="V22" s="38">
        <v>370716</v>
      </c>
      <c r="W22" s="18"/>
      <c r="X22" s="35">
        <f>G22-H22</f>
        <v>301168</v>
      </c>
      <c r="Y22" s="36">
        <f>X22/H22</f>
        <v>3.5</v>
      </c>
      <c r="Z22" s="18"/>
      <c r="AD22" s="21"/>
    </row>
    <row r="23" spans="2:30" s="2" customFormat="1" ht="12" customHeight="1" x14ac:dyDescent="0.25">
      <c r="B23" s="22" t="s">
        <v>30</v>
      </c>
      <c r="C23" s="4"/>
      <c r="D23" s="24">
        <f>SUM(D20:D22)</f>
        <v>0</v>
      </c>
      <c r="E23" s="24">
        <f>SUM(E20:E22)</f>
        <v>0</v>
      </c>
      <c r="F23" s="148">
        <f t="shared" si="1"/>
        <v>0</v>
      </c>
      <c r="G23" s="24">
        <f>SUM(G20:G22)</f>
        <v>0</v>
      </c>
      <c r="H23" s="24">
        <f>SUM(H20:H22)</f>
        <v>0</v>
      </c>
      <c r="I23" s="148">
        <f t="shared" si="2"/>
        <v>0</v>
      </c>
      <c r="J23" s="24">
        <f>SUM(J20:J22)</f>
        <v>0</v>
      </c>
      <c r="K23" s="170"/>
      <c r="L23" s="24">
        <v>0</v>
      </c>
      <c r="M23" s="24">
        <v>0</v>
      </c>
      <c r="N23" s="24">
        <f>SUM(N20:N22)</f>
        <v>0</v>
      </c>
      <c r="O23" s="24">
        <f>SUM(O20:O22)</f>
        <v>0</v>
      </c>
      <c r="P23" s="24">
        <f t="shared" ref="P23:V23" si="16">SUM(P20:P22)</f>
        <v>0</v>
      </c>
      <c r="Q23" s="24">
        <f t="shared" si="16"/>
        <v>0</v>
      </c>
      <c r="R23" s="24">
        <f t="shared" si="16"/>
        <v>0</v>
      </c>
      <c r="S23" s="24">
        <f t="shared" si="16"/>
        <v>0</v>
      </c>
      <c r="T23" s="24">
        <f t="shared" si="16"/>
        <v>0</v>
      </c>
      <c r="U23" s="24">
        <f t="shared" si="16"/>
        <v>0</v>
      </c>
      <c r="V23" s="24">
        <f t="shared" si="16"/>
        <v>0</v>
      </c>
      <c r="W23" s="25"/>
      <c r="X23" s="26">
        <f t="shared" si="4"/>
        <v>0</v>
      </c>
      <c r="Y23" s="27">
        <f>IF(H23=0,0,X23/H23)</f>
        <v>0</v>
      </c>
      <c r="Z23" s="25"/>
      <c r="AA23" s="28"/>
      <c r="AB23" s="28"/>
      <c r="AC23" s="28"/>
      <c r="AD23" s="29"/>
    </row>
    <row r="24" spans="2:30" ht="12" customHeight="1" x14ac:dyDescent="0.25">
      <c r="B24" s="30"/>
      <c r="D24" s="39"/>
      <c r="E24" s="39"/>
      <c r="F24" s="151">
        <f t="shared" si="1"/>
        <v>0</v>
      </c>
      <c r="G24" s="39"/>
      <c r="H24" s="39"/>
      <c r="I24" s="151">
        <f t="shared" si="2"/>
        <v>0</v>
      </c>
      <c r="J24" s="39"/>
      <c r="K24" s="174"/>
      <c r="L24" s="39"/>
      <c r="M24" s="39"/>
      <c r="N24" s="40"/>
      <c r="O24" s="40"/>
      <c r="P24" s="40"/>
      <c r="Q24" s="41"/>
      <c r="R24" s="40"/>
      <c r="S24" s="40"/>
      <c r="T24" s="40"/>
      <c r="U24" s="40"/>
      <c r="V24" s="32"/>
      <c r="W24" s="18"/>
      <c r="X24" s="39"/>
      <c r="Y24" s="42"/>
      <c r="Z24" s="18"/>
      <c r="AD24" s="21"/>
    </row>
    <row r="25" spans="2:30" ht="12" customHeight="1" x14ac:dyDescent="0.25">
      <c r="B25" s="43" t="s">
        <v>31</v>
      </c>
      <c r="C25" s="4"/>
      <c r="D25" s="44">
        <f>D6-D13-D18-D23</f>
        <v>-36903.930000000168</v>
      </c>
      <c r="E25" s="44">
        <f>E6-E13-E18-E23</f>
        <v>28986.581333555747</v>
      </c>
      <c r="F25" s="153">
        <f t="shared" si="1"/>
        <v>-65890.511333555914</v>
      </c>
      <c r="G25" s="44">
        <f>G6-G13-G18-G23</f>
        <v>-60194.456100000069</v>
      </c>
      <c r="H25" s="44">
        <f>H6-H13-H18-H23</f>
        <v>514275</v>
      </c>
      <c r="I25" s="153">
        <f t="shared" si="2"/>
        <v>-574469.45610000007</v>
      </c>
      <c r="J25" s="44">
        <f>J6-J13-J18-J23</f>
        <v>100948</v>
      </c>
      <c r="K25" s="175">
        <f t="shared" ref="K25" si="17">+G25-J25</f>
        <v>-161142.45610000007</v>
      </c>
      <c r="L25" s="44">
        <v>0.30555599927902222</v>
      </c>
      <c r="M25" s="44">
        <v>167519.29667704133</v>
      </c>
      <c r="N25" s="44">
        <f>N6-N13-N18-N23</f>
        <v>76482.449999999721</v>
      </c>
      <c r="O25" s="44">
        <f>O6-O13-O18-O23</f>
        <v>62513</v>
      </c>
      <c r="P25" s="44">
        <f t="shared" ref="P25:V25" si="18">P6-P13-P18-P23</f>
        <v>-25673</v>
      </c>
      <c r="Q25" s="44">
        <f t="shared" si="18"/>
        <v>238.00110876455437</v>
      </c>
      <c r="R25" s="44">
        <f t="shared" si="18"/>
        <v>6006</v>
      </c>
      <c r="S25" s="44">
        <f t="shared" si="18"/>
        <v>-101304.87999999989</v>
      </c>
      <c r="T25" s="44">
        <f t="shared" si="18"/>
        <v>3047.190000000759</v>
      </c>
      <c r="U25" s="44">
        <f t="shared" si="18"/>
        <v>-12716.940000000061</v>
      </c>
      <c r="V25" s="44">
        <f t="shared" si="18"/>
        <v>2032.9599999993807</v>
      </c>
      <c r="W25" s="25"/>
      <c r="X25" s="45">
        <f t="shared" si="4"/>
        <v>-574469.45610000007</v>
      </c>
      <c r="Y25" s="46">
        <f>X25/H25</f>
        <v>-1.1170472142336301</v>
      </c>
      <c r="Z25" s="25"/>
      <c r="AD25" s="29"/>
    </row>
    <row r="26" spans="2:30" x14ac:dyDescent="0.25">
      <c r="B26" s="2"/>
      <c r="C26" s="4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25"/>
      <c r="X26" s="47"/>
      <c r="Y26" s="47"/>
      <c r="Z26" s="25"/>
      <c r="AD26" s="29"/>
    </row>
    <row r="27" spans="2:30" x14ac:dyDescent="0.25">
      <c r="B27" s="48"/>
      <c r="C27" s="49"/>
      <c r="O27" s="50" t="s">
        <v>32</v>
      </c>
      <c r="P27" s="51"/>
      <c r="Q27" s="52"/>
      <c r="R27" s="53">
        <f>-92404+6006</f>
        <v>-86398</v>
      </c>
      <c r="S27" s="54" t="s">
        <v>33</v>
      </c>
      <c r="T27" s="55">
        <f>T25-87890</f>
        <v>-84842.809999999241</v>
      </c>
      <c r="U27" s="56" t="s">
        <v>34</v>
      </c>
      <c r="V27" s="57"/>
      <c r="W27" s="58"/>
      <c r="X27" s="57"/>
      <c r="Z27" s="58"/>
      <c r="AD27" s="59"/>
    </row>
    <row r="28" spans="2:30" x14ac:dyDescent="0.25">
      <c r="B28" s="60" t="s">
        <v>35</v>
      </c>
      <c r="C28" s="61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3" t="s">
        <v>36</v>
      </c>
      <c r="T28" s="62"/>
      <c r="U28" s="62"/>
      <c r="V28" s="62"/>
      <c r="W28" s="62"/>
      <c r="X28" s="62"/>
      <c r="Y28" s="62"/>
      <c r="Z28" s="62"/>
      <c r="AD28" s="59"/>
    </row>
    <row r="29" spans="2:30" ht="5.0999999999999996" customHeight="1" x14ac:dyDescent="0.25">
      <c r="B29" s="48"/>
      <c r="C29" s="4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8"/>
      <c r="X29" s="59"/>
      <c r="Y29" s="59"/>
      <c r="Z29" s="58"/>
      <c r="AA29" s="1"/>
      <c r="AB29" s="1"/>
      <c r="AC29" s="1"/>
      <c r="AD29" s="59"/>
    </row>
    <row r="30" spans="2:30" x14ac:dyDescent="0.25">
      <c r="B30" s="64" t="s">
        <v>37</v>
      </c>
      <c r="C30" s="4"/>
      <c r="D30" s="12" t="str">
        <f>D3</f>
        <v>BUDGET 2022</v>
      </c>
      <c r="E30" s="12" t="str">
        <f>E3</f>
        <v>ACT 2021</v>
      </c>
      <c r="F30" s="147" t="s">
        <v>111</v>
      </c>
      <c r="G30" s="12" t="str">
        <f>G3</f>
        <v>BUDGET 2021</v>
      </c>
      <c r="H30" s="12" t="str">
        <f>H3</f>
        <v>ACTUAL 2020</v>
      </c>
      <c r="I30" s="147" t="s">
        <v>111</v>
      </c>
      <c r="J30" s="65" t="str">
        <f>J3</f>
        <v>ACTUAL 2019</v>
      </c>
      <c r="K30" s="176" t="str">
        <f>+K3</f>
        <v>B 2021 vs A2019</v>
      </c>
      <c r="L30" s="65" t="s">
        <v>3</v>
      </c>
      <c r="M30" s="14" t="s">
        <v>4</v>
      </c>
      <c r="N30" s="14" t="str">
        <f>N3</f>
        <v>ACTUAL 2016</v>
      </c>
      <c r="O30" s="14" t="str">
        <f>O3</f>
        <v>ACTUAL 2015</v>
      </c>
      <c r="P30" s="14" t="str">
        <f t="shared" ref="P30:V30" si="19">P3</f>
        <v>ACTUAL 2014</v>
      </c>
      <c r="Q30" s="14" t="str">
        <f t="shared" si="19"/>
        <v>ACTUAL 2013</v>
      </c>
      <c r="R30" s="14" t="str">
        <f t="shared" si="19"/>
        <v>ACTUAL 2012</v>
      </c>
      <c r="S30" s="14" t="str">
        <f t="shared" si="19"/>
        <v>ACTUAL 2011</v>
      </c>
      <c r="T30" s="14" t="str">
        <f t="shared" si="19"/>
        <v>ACTUAL 2010</v>
      </c>
      <c r="U30" s="14" t="str">
        <f t="shared" si="19"/>
        <v>ACTUAL 2009</v>
      </c>
      <c r="V30" s="14" t="str">
        <f t="shared" si="19"/>
        <v>ACTUAL 2008</v>
      </c>
      <c r="W30" s="10"/>
      <c r="X30" s="789" t="str">
        <f>X3</f>
        <v>Var Bud-21 Actual-20</v>
      </c>
      <c r="Y30" s="790"/>
      <c r="Z30" s="66"/>
      <c r="AD30" s="59"/>
    </row>
    <row r="31" spans="2:30" ht="12.15" customHeight="1" x14ac:dyDescent="0.25">
      <c r="B31" s="30" t="s">
        <v>38</v>
      </c>
      <c r="D31" s="67">
        <v>2471484</v>
      </c>
      <c r="E31" s="67">
        <v>2286117</v>
      </c>
      <c r="F31" s="148">
        <f t="shared" ref="F31:F41" si="20">D31-E31</f>
        <v>185367</v>
      </c>
      <c r="G31" s="67">
        <v>2285996.9399999995</v>
      </c>
      <c r="H31" s="67">
        <v>2286117</v>
      </c>
      <c r="I31" s="148">
        <f t="shared" ref="I31:I41" si="21">G31-H31</f>
        <v>-120.06000000052154</v>
      </c>
      <c r="J31" s="67">
        <v>2447052</v>
      </c>
      <c r="K31" s="177">
        <f t="shared" ref="K31:K41" si="22">+G31-J31</f>
        <v>-161055.06000000052</v>
      </c>
      <c r="L31" s="67">
        <v>2304900</v>
      </c>
      <c r="M31" s="67">
        <v>2366257</v>
      </c>
      <c r="N31" s="67">
        <v>2312124</v>
      </c>
      <c r="O31" s="67">
        <v>2281560</v>
      </c>
      <c r="P31" s="67">
        <v>2175936</v>
      </c>
      <c r="Q31" s="68">
        <v>2037504</v>
      </c>
      <c r="R31" s="68">
        <v>2037504</v>
      </c>
      <c r="S31" s="26">
        <v>2037504</v>
      </c>
      <c r="T31" s="31">
        <v>2037504</v>
      </c>
      <c r="U31" s="32">
        <v>1985880</v>
      </c>
      <c r="V31" s="32">
        <v>1916808</v>
      </c>
      <c r="W31" s="18"/>
      <c r="X31" s="26">
        <f t="shared" ref="X31:X41" si="23">G31-H31</f>
        <v>-120.06000000052154</v>
      </c>
      <c r="Y31" s="27">
        <f>X31/H31</f>
        <v>-5.251699716179073E-5</v>
      </c>
      <c r="Z31" s="18"/>
      <c r="AD31" s="21"/>
    </row>
    <row r="32" spans="2:30" ht="12.15" customHeight="1" x14ac:dyDescent="0.25">
      <c r="B32" s="30" t="s">
        <v>39</v>
      </c>
      <c r="D32" s="31">
        <v>70140</v>
      </c>
      <c r="E32" s="31">
        <v>70140</v>
      </c>
      <c r="F32" s="148">
        <f t="shared" si="20"/>
        <v>0</v>
      </c>
      <c r="G32" s="31">
        <v>70140</v>
      </c>
      <c r="H32" s="31">
        <v>70140</v>
      </c>
      <c r="I32" s="148">
        <f t="shared" si="21"/>
        <v>0</v>
      </c>
      <c r="J32" s="31">
        <v>69708</v>
      </c>
      <c r="K32" s="168">
        <f t="shared" si="22"/>
        <v>432</v>
      </c>
      <c r="L32" s="31">
        <v>62368</v>
      </c>
      <c r="M32" s="31">
        <v>66708</v>
      </c>
      <c r="N32" s="31">
        <v>65868</v>
      </c>
      <c r="O32" s="26">
        <v>64968</v>
      </c>
      <c r="P32" s="69">
        <v>62345</v>
      </c>
      <c r="Q32" s="31">
        <v>57428</v>
      </c>
      <c r="R32" s="31">
        <v>57420</v>
      </c>
      <c r="S32" s="31">
        <v>57420</v>
      </c>
      <c r="T32" s="31">
        <v>57420</v>
      </c>
      <c r="U32" s="31">
        <v>56592</v>
      </c>
      <c r="V32" s="31">
        <v>56592</v>
      </c>
      <c r="W32" s="18"/>
      <c r="X32" s="26">
        <f t="shared" si="23"/>
        <v>0</v>
      </c>
      <c r="Y32" s="27">
        <f>X32/H32</f>
        <v>0</v>
      </c>
      <c r="Z32" s="18"/>
      <c r="AD32" s="21"/>
    </row>
    <row r="33" spans="2:30" ht="12.15" customHeight="1" x14ac:dyDescent="0.25">
      <c r="B33" s="30" t="s">
        <v>40</v>
      </c>
      <c r="D33" s="31">
        <v>0</v>
      </c>
      <c r="E33" s="31">
        <v>0</v>
      </c>
      <c r="F33" s="148">
        <f t="shared" si="20"/>
        <v>0</v>
      </c>
      <c r="G33" s="31">
        <v>0</v>
      </c>
      <c r="H33" s="31">
        <v>0</v>
      </c>
      <c r="I33" s="148">
        <f t="shared" si="21"/>
        <v>0</v>
      </c>
      <c r="J33" s="31">
        <v>0</v>
      </c>
      <c r="K33" s="168">
        <f t="shared" si="22"/>
        <v>0</v>
      </c>
      <c r="L33" s="31"/>
      <c r="M33" s="31">
        <v>0</v>
      </c>
      <c r="N33" s="31">
        <v>0</v>
      </c>
      <c r="O33" s="26">
        <f>'[5]FC 2019'!Q51</f>
        <v>0</v>
      </c>
      <c r="P33" s="69">
        <f>'[5]FC 2019'!Q51</f>
        <v>0</v>
      </c>
      <c r="Q33" s="31">
        <v>0</v>
      </c>
      <c r="R33" s="31">
        <v>15000</v>
      </c>
      <c r="S33" s="31">
        <v>15000</v>
      </c>
      <c r="T33" s="31">
        <v>15000</v>
      </c>
      <c r="U33" s="31">
        <v>15000</v>
      </c>
      <c r="V33" s="31">
        <v>15000</v>
      </c>
      <c r="W33" s="18"/>
      <c r="X33" s="26">
        <f t="shared" si="23"/>
        <v>0</v>
      </c>
      <c r="Y33" s="27">
        <f>IF(X33=0,0,X33/H33)</f>
        <v>0</v>
      </c>
      <c r="Z33" s="18"/>
      <c r="AD33" s="21"/>
    </row>
    <row r="34" spans="2:30" ht="12.15" customHeight="1" x14ac:dyDescent="0.25">
      <c r="B34" s="30" t="s">
        <v>41</v>
      </c>
      <c r="D34" s="31">
        <v>438000</v>
      </c>
      <c r="E34" s="31">
        <v>285641.89</v>
      </c>
      <c r="F34" s="148">
        <f t="shared" si="20"/>
        <v>152358.10999999999</v>
      </c>
      <c r="G34" s="31">
        <v>420083.36999999988</v>
      </c>
      <c r="H34" s="31">
        <v>201459</v>
      </c>
      <c r="I34" s="148">
        <f t="shared" si="21"/>
        <v>218624.36999999988</v>
      </c>
      <c r="J34" s="31">
        <v>426574</v>
      </c>
      <c r="K34" s="168">
        <f t="shared" si="22"/>
        <v>-6490.6300000001211</v>
      </c>
      <c r="L34" s="31">
        <v>329012.65000000002</v>
      </c>
      <c r="M34" s="31">
        <v>482388.1</v>
      </c>
      <c r="N34" s="31">
        <v>383504.26</v>
      </c>
      <c r="O34" s="26">
        <v>347657</v>
      </c>
      <c r="P34" s="69">
        <v>283756</v>
      </c>
      <c r="Q34" s="31">
        <v>258718</v>
      </c>
      <c r="R34" s="31">
        <v>356372</v>
      </c>
      <c r="S34" s="31">
        <v>287715.03999999998</v>
      </c>
      <c r="T34" s="31">
        <v>296466.49</v>
      </c>
      <c r="U34" s="31">
        <v>269722.71000000002</v>
      </c>
      <c r="V34" s="31">
        <v>378292.97</v>
      </c>
      <c r="W34" s="18"/>
      <c r="X34" s="26">
        <f t="shared" si="23"/>
        <v>218624.36999999988</v>
      </c>
      <c r="Y34" s="27">
        <f t="shared" ref="Y34:Y41" si="24">X34/H34</f>
        <v>1.0852052775006322</v>
      </c>
      <c r="Z34" s="18"/>
      <c r="AD34" s="21"/>
    </row>
    <row r="35" spans="2:30" ht="12.15" customHeight="1" x14ac:dyDescent="0.25">
      <c r="B35" s="30" t="s">
        <v>42</v>
      </c>
      <c r="D35" s="31">
        <v>21840</v>
      </c>
      <c r="E35" s="31">
        <v>18627.13</v>
      </c>
      <c r="F35" s="148">
        <f t="shared" si="20"/>
        <v>3212.869999999999</v>
      </c>
      <c r="G35" s="31">
        <v>12850</v>
      </c>
      <c r="H35" s="31">
        <v>9412</v>
      </c>
      <c r="I35" s="148">
        <f t="shared" si="21"/>
        <v>3438</v>
      </c>
      <c r="J35" s="31">
        <v>18165</v>
      </c>
      <c r="K35" s="168">
        <f t="shared" si="22"/>
        <v>-5315</v>
      </c>
      <c r="L35" s="31">
        <v>19638.46</v>
      </c>
      <c r="M35" s="31">
        <v>21542.716677041928</v>
      </c>
      <c r="N35" s="31">
        <v>27940.039999999997</v>
      </c>
      <c r="O35" s="26">
        <v>25138.5</v>
      </c>
      <c r="P35" s="69">
        <v>23691</v>
      </c>
      <c r="Q35" s="31">
        <v>20345</v>
      </c>
      <c r="R35" s="31">
        <v>18684</v>
      </c>
      <c r="S35" s="31">
        <v>21509.5</v>
      </c>
      <c r="T35" s="31">
        <v>28901.43</v>
      </c>
      <c r="U35" s="31">
        <v>26861.200000000001</v>
      </c>
      <c r="V35" s="31">
        <v>24775.03</v>
      </c>
      <c r="W35" s="18"/>
      <c r="X35" s="26">
        <f t="shared" si="23"/>
        <v>3438</v>
      </c>
      <c r="Y35" s="27">
        <f t="shared" si="24"/>
        <v>0.365278368040799</v>
      </c>
      <c r="Z35" s="18"/>
      <c r="AD35" s="21"/>
    </row>
    <row r="36" spans="2:30" ht="12.15" customHeight="1" x14ac:dyDescent="0.25">
      <c r="B36" s="30" t="s">
        <v>43</v>
      </c>
      <c r="D36" s="31">
        <v>55488</v>
      </c>
      <c r="E36" s="31">
        <v>51901.59</v>
      </c>
      <c r="F36" s="148">
        <f t="shared" si="20"/>
        <v>3586.4100000000035</v>
      </c>
      <c r="G36" s="31">
        <v>36460</v>
      </c>
      <c r="H36" s="31">
        <v>26764</v>
      </c>
      <c r="I36" s="148">
        <f t="shared" si="21"/>
        <v>9696</v>
      </c>
      <c r="J36" s="31">
        <v>55457</v>
      </c>
      <c r="K36" s="168">
        <f t="shared" si="22"/>
        <v>-18997</v>
      </c>
      <c r="L36" s="31">
        <v>50531.16</v>
      </c>
      <c r="M36" s="31">
        <v>60540.009999999995</v>
      </c>
      <c r="N36" s="31">
        <v>75814.81</v>
      </c>
      <c r="O36" s="26">
        <v>89579.5</v>
      </c>
      <c r="P36" s="69">
        <v>102247</v>
      </c>
      <c r="Q36" s="31">
        <v>101818</v>
      </c>
      <c r="R36" s="31">
        <v>92382</v>
      </c>
      <c r="S36" s="31">
        <v>85480.36</v>
      </c>
      <c r="T36" s="31">
        <v>70115.47</v>
      </c>
      <c r="U36" s="31">
        <v>61310.17</v>
      </c>
      <c r="V36" s="31">
        <v>90288.3</v>
      </c>
      <c r="W36" s="18"/>
      <c r="X36" s="26">
        <f t="shared" si="23"/>
        <v>9696</v>
      </c>
      <c r="Y36" s="27">
        <f t="shared" si="24"/>
        <v>0.36227768644447766</v>
      </c>
      <c r="Z36" s="18"/>
      <c r="AD36" s="21"/>
    </row>
    <row r="37" spans="2:30" ht="12.15" customHeight="1" x14ac:dyDescent="0.25">
      <c r="B37" s="30" t="s">
        <v>44</v>
      </c>
      <c r="D37" s="31">
        <v>14400</v>
      </c>
      <c r="E37" s="31">
        <v>16546</v>
      </c>
      <c r="F37" s="148">
        <f t="shared" si="20"/>
        <v>-2146</v>
      </c>
      <c r="G37" s="31">
        <v>0</v>
      </c>
      <c r="H37" s="31">
        <v>-7226</v>
      </c>
      <c r="I37" s="148">
        <f t="shared" si="21"/>
        <v>7226</v>
      </c>
      <c r="J37" s="31">
        <v>5782</v>
      </c>
      <c r="K37" s="168">
        <f t="shared" si="22"/>
        <v>-5782</v>
      </c>
      <c r="L37" s="31">
        <v>52731.76</v>
      </c>
      <c r="M37" s="31">
        <v>29630.99</v>
      </c>
      <c r="N37" s="31">
        <v>22373.86</v>
      </c>
      <c r="O37" s="26">
        <v>17712</v>
      </c>
      <c r="P37" s="69">
        <v>18232</v>
      </c>
      <c r="Q37" s="31">
        <v>17887</v>
      </c>
      <c r="R37" s="31">
        <v>19793</v>
      </c>
      <c r="S37" s="31">
        <v>25902.58</v>
      </c>
      <c r="T37" s="31">
        <v>19953.41</v>
      </c>
      <c r="U37" s="31">
        <v>20130</v>
      </c>
      <c r="V37" s="31">
        <v>20405</v>
      </c>
      <c r="W37" s="18"/>
      <c r="X37" s="26">
        <f t="shared" si="23"/>
        <v>7226</v>
      </c>
      <c r="Y37" s="27">
        <f t="shared" si="24"/>
        <v>-1</v>
      </c>
      <c r="Z37" s="18"/>
      <c r="AD37" s="21"/>
    </row>
    <row r="38" spans="2:30" ht="12.15" customHeight="1" x14ac:dyDescent="0.25">
      <c r="B38" s="30" t="s">
        <v>45</v>
      </c>
      <c r="D38" s="31">
        <v>2016</v>
      </c>
      <c r="E38" s="31">
        <v>1820.0400000000002</v>
      </c>
      <c r="F38" s="148">
        <f t="shared" si="20"/>
        <v>195.95999999999981</v>
      </c>
      <c r="G38" s="31">
        <v>1820</v>
      </c>
      <c r="H38" s="31">
        <v>1193</v>
      </c>
      <c r="I38" s="148">
        <f t="shared" si="21"/>
        <v>627</v>
      </c>
      <c r="J38" s="31">
        <v>486</v>
      </c>
      <c r="K38" s="168">
        <f t="shared" si="22"/>
        <v>1334</v>
      </c>
      <c r="L38" s="31">
        <v>1791.06</v>
      </c>
      <c r="M38" s="31">
        <v>2340</v>
      </c>
      <c r="N38" s="31">
        <v>2340</v>
      </c>
      <c r="O38" s="26">
        <v>2124</v>
      </c>
      <c r="P38" s="69">
        <v>2232</v>
      </c>
      <c r="Q38" s="31">
        <v>2259</v>
      </c>
      <c r="R38" s="31">
        <v>1692</v>
      </c>
      <c r="S38" s="31">
        <v>2340</v>
      </c>
      <c r="T38" s="31">
        <v>2340</v>
      </c>
      <c r="U38" s="31">
        <v>1603.4</v>
      </c>
      <c r="V38" s="31">
        <v>19695</v>
      </c>
      <c r="W38" s="18"/>
      <c r="X38" s="26">
        <f t="shared" si="23"/>
        <v>627</v>
      </c>
      <c r="Y38" s="27">
        <f t="shared" si="24"/>
        <v>0.52556580050293378</v>
      </c>
      <c r="Z38" s="18"/>
      <c r="AD38" s="21"/>
    </row>
    <row r="39" spans="2:30" ht="12.15" customHeight="1" x14ac:dyDescent="0.25">
      <c r="B39" s="30" t="s">
        <v>46</v>
      </c>
      <c r="D39" s="31">
        <v>0</v>
      </c>
      <c r="E39" s="31">
        <v>0</v>
      </c>
      <c r="F39" s="148">
        <f t="shared" si="20"/>
        <v>0</v>
      </c>
      <c r="G39" s="31">
        <v>0</v>
      </c>
      <c r="H39" s="31">
        <v>0</v>
      </c>
      <c r="I39" s="148">
        <f t="shared" si="21"/>
        <v>0</v>
      </c>
      <c r="J39" s="31">
        <v>0</v>
      </c>
      <c r="K39" s="168">
        <f t="shared" si="22"/>
        <v>0</v>
      </c>
      <c r="L39" s="31">
        <v>0</v>
      </c>
      <c r="M39" s="31">
        <v>0</v>
      </c>
      <c r="N39" s="31">
        <v>0</v>
      </c>
      <c r="O39" s="26">
        <f>'[5]FC 2019'!Q57</f>
        <v>0</v>
      </c>
      <c r="P39" s="69">
        <v>1650</v>
      </c>
      <c r="Q39" s="31">
        <v>1750</v>
      </c>
      <c r="R39" s="31">
        <v>0</v>
      </c>
      <c r="S39" s="31">
        <v>0</v>
      </c>
      <c r="T39" s="31">
        <v>64485</v>
      </c>
      <c r="U39" s="31">
        <v>0</v>
      </c>
      <c r="V39" s="31">
        <v>0</v>
      </c>
      <c r="W39" s="18"/>
      <c r="X39" s="26">
        <f t="shared" si="23"/>
        <v>0</v>
      </c>
      <c r="Y39" s="27" t="e">
        <f>X39/H39</f>
        <v>#DIV/0!</v>
      </c>
      <c r="Z39" s="18"/>
      <c r="AD39" s="21"/>
    </row>
    <row r="40" spans="2:30" ht="12.15" customHeight="1" x14ac:dyDescent="0.25">
      <c r="B40" s="33" t="s">
        <v>47</v>
      </c>
      <c r="D40" s="34">
        <v>250</v>
      </c>
      <c r="E40" s="34">
        <v>121.71000000000001</v>
      </c>
      <c r="F40" s="150">
        <f t="shared" si="20"/>
        <v>128.29</v>
      </c>
      <c r="G40" s="34">
        <v>125</v>
      </c>
      <c r="H40" s="34">
        <v>191</v>
      </c>
      <c r="I40" s="150">
        <f t="shared" si="21"/>
        <v>-66</v>
      </c>
      <c r="J40" s="34">
        <v>2302</v>
      </c>
      <c r="K40" s="171">
        <f t="shared" si="22"/>
        <v>-2177</v>
      </c>
      <c r="L40" s="34">
        <v>1447</v>
      </c>
      <c r="M40" s="34">
        <v>2529.8799999999992</v>
      </c>
      <c r="N40" s="34">
        <v>1671.4</v>
      </c>
      <c r="O40" s="35">
        <v>1892</v>
      </c>
      <c r="P40" s="70">
        <v>6332</v>
      </c>
      <c r="Q40" s="34">
        <v>8448</v>
      </c>
      <c r="R40" s="34">
        <v>8378</v>
      </c>
      <c r="S40" s="34">
        <v>7213.38</v>
      </c>
      <c r="T40" s="34">
        <v>27774.27</v>
      </c>
      <c r="U40" s="34">
        <v>3341.98</v>
      </c>
      <c r="V40" s="34">
        <v>5238.55</v>
      </c>
      <c r="W40" s="18"/>
      <c r="X40" s="26">
        <f t="shared" si="23"/>
        <v>-66</v>
      </c>
      <c r="Y40" s="27">
        <f t="shared" si="24"/>
        <v>-0.34554973821989526</v>
      </c>
      <c r="Z40" s="18"/>
      <c r="AD40" s="21"/>
    </row>
    <row r="41" spans="2:30" ht="12" customHeight="1" x14ac:dyDescent="0.25">
      <c r="B41" s="71" t="s">
        <v>16</v>
      </c>
      <c r="C41" s="72">
        <f>SUM(C31:C40)</f>
        <v>0</v>
      </c>
      <c r="D41" s="72">
        <f>SUM(D31:D40)</f>
        <v>3073618</v>
      </c>
      <c r="E41" s="72">
        <f>SUM(E31:E40)</f>
        <v>2730915.36</v>
      </c>
      <c r="F41" s="157">
        <f t="shared" si="20"/>
        <v>342702.64000000013</v>
      </c>
      <c r="G41" s="72">
        <f>SUM(G31:G40)</f>
        <v>2827475.3099999996</v>
      </c>
      <c r="H41" s="72">
        <f>SUM(H31:H40)</f>
        <v>2588050</v>
      </c>
      <c r="I41" s="157">
        <f t="shared" si="21"/>
        <v>239425.30999999959</v>
      </c>
      <c r="J41" s="72">
        <f>SUM(J31:J40)</f>
        <v>3025526</v>
      </c>
      <c r="K41" s="178">
        <f t="shared" si="22"/>
        <v>-198050.69000000041</v>
      </c>
      <c r="L41" s="72">
        <v>2822420.09</v>
      </c>
      <c r="M41" s="72">
        <v>3031936.6966770417</v>
      </c>
      <c r="N41" s="72">
        <f>SUM(N31:N40)</f>
        <v>2891636.3699999996</v>
      </c>
      <c r="O41" s="72">
        <f>SUM(O31:O40)</f>
        <v>2830631</v>
      </c>
      <c r="P41" s="72">
        <f t="shared" ref="P41:V41" si="25">SUM(P31:P40)</f>
        <v>2676421</v>
      </c>
      <c r="Q41" s="55">
        <f t="shared" si="25"/>
        <v>2506157</v>
      </c>
      <c r="R41" s="55">
        <f t="shared" si="25"/>
        <v>2607225</v>
      </c>
      <c r="S41" s="55">
        <f t="shared" si="25"/>
        <v>2540084.86</v>
      </c>
      <c r="T41" s="55">
        <f t="shared" si="25"/>
        <v>2619960.0700000008</v>
      </c>
      <c r="U41" s="73">
        <f t="shared" si="25"/>
        <v>2440441.46</v>
      </c>
      <c r="V41" s="73">
        <f t="shared" si="25"/>
        <v>2527094.8499999992</v>
      </c>
      <c r="W41" s="25"/>
      <c r="X41" s="72">
        <f t="shared" si="23"/>
        <v>239425.30999999959</v>
      </c>
      <c r="Y41" s="74">
        <f t="shared" si="24"/>
        <v>9.2511856416993332E-2</v>
      </c>
      <c r="Z41" s="75"/>
      <c r="AD41" s="29"/>
    </row>
    <row r="42" spans="2:30" ht="12" customHeight="1" x14ac:dyDescent="0.25">
      <c r="B42" s="48"/>
      <c r="C42" s="49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7"/>
      <c r="X42" s="76"/>
      <c r="Y42" s="76"/>
      <c r="Z42" s="77"/>
      <c r="AD42" s="59"/>
    </row>
    <row r="43" spans="2:30" ht="12" customHeight="1" x14ac:dyDescent="0.25">
      <c r="B43" s="64" t="s">
        <v>48</v>
      </c>
      <c r="C43" s="4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10"/>
      <c r="X43" s="78"/>
      <c r="Y43" s="9"/>
      <c r="Z43" s="10"/>
      <c r="AD43" s="59"/>
    </row>
    <row r="44" spans="2:30" ht="12.15" customHeight="1" x14ac:dyDescent="0.25">
      <c r="B44" s="79" t="s">
        <v>49</v>
      </c>
      <c r="D44" s="80">
        <v>216000</v>
      </c>
      <c r="E44" s="80">
        <v>204053</v>
      </c>
      <c r="F44" s="148">
        <f t="shared" ref="F44:F51" si="26">D44-E44</f>
        <v>11947</v>
      </c>
      <c r="G44" s="80">
        <v>229200</v>
      </c>
      <c r="H44" s="80">
        <v>169941</v>
      </c>
      <c r="I44" s="148">
        <f t="shared" ref="I44:I51" si="27">G44-H44</f>
        <v>59259</v>
      </c>
      <c r="J44" s="80">
        <v>167516</v>
      </c>
      <c r="K44" s="168">
        <f t="shared" ref="K44:K49" si="28">+G44-J44</f>
        <v>61684</v>
      </c>
      <c r="L44" s="80">
        <v>146114.18999999997</v>
      </c>
      <c r="M44" s="80">
        <v>151579.48000000001</v>
      </c>
      <c r="N44" s="80">
        <v>157389.59</v>
      </c>
      <c r="O44" s="80">
        <v>160998</v>
      </c>
      <c r="P44" s="68">
        <v>136595</v>
      </c>
      <c r="Q44" s="80">
        <v>152334</v>
      </c>
      <c r="R44" s="81">
        <v>137773</v>
      </c>
      <c r="S44" s="82">
        <v>145848</v>
      </c>
      <c r="T44" s="81">
        <v>178966.3</v>
      </c>
      <c r="U44" s="83">
        <v>156327.51</v>
      </c>
      <c r="V44" s="83">
        <v>170404.27</v>
      </c>
      <c r="W44" s="18"/>
      <c r="X44" s="26">
        <f t="shared" ref="X44:X51" si="29">G44-H44</f>
        <v>59259</v>
      </c>
      <c r="Y44" s="84">
        <f>X44/H44</f>
        <v>0.34870337352375236</v>
      </c>
      <c r="Z44" s="18"/>
      <c r="AD44" s="21"/>
    </row>
    <row r="45" spans="2:30" ht="12.15" customHeight="1" x14ac:dyDescent="0.25">
      <c r="B45" s="30" t="s">
        <v>50</v>
      </c>
      <c r="D45" s="85">
        <v>24000</v>
      </c>
      <c r="E45" s="85">
        <v>18740</v>
      </c>
      <c r="F45" s="148">
        <f t="shared" si="26"/>
        <v>5260</v>
      </c>
      <c r="G45" s="85">
        <v>24000</v>
      </c>
      <c r="H45" s="85">
        <v>19384</v>
      </c>
      <c r="I45" s="148">
        <f t="shared" si="27"/>
        <v>4616</v>
      </c>
      <c r="J45" s="85">
        <v>21411</v>
      </c>
      <c r="K45" s="168">
        <f t="shared" si="28"/>
        <v>2589</v>
      </c>
      <c r="L45" s="85">
        <v>12241.22</v>
      </c>
      <c r="M45" s="85">
        <v>9454.69</v>
      </c>
      <c r="N45" s="85">
        <v>13756.880000000001</v>
      </c>
      <c r="O45" s="85">
        <v>17494</v>
      </c>
      <c r="P45" s="86">
        <v>13848</v>
      </c>
      <c r="Q45" s="85">
        <v>14574</v>
      </c>
      <c r="R45" s="31">
        <v>13741</v>
      </c>
      <c r="S45" s="26">
        <v>14859</v>
      </c>
      <c r="T45" s="31">
        <v>0</v>
      </c>
      <c r="U45" s="32">
        <v>0</v>
      </c>
      <c r="V45" s="32">
        <v>0</v>
      </c>
      <c r="W45" s="18"/>
      <c r="X45" s="26">
        <f t="shared" si="29"/>
        <v>4616</v>
      </c>
      <c r="Y45" s="27">
        <f>X45/H45</f>
        <v>0.23813454395377631</v>
      </c>
      <c r="Z45" s="18"/>
      <c r="AD45" s="21"/>
    </row>
    <row r="46" spans="2:30" ht="15.6" customHeight="1" x14ac:dyDescent="0.25">
      <c r="B46" s="30" t="s">
        <v>51</v>
      </c>
      <c r="D46" s="85">
        <v>18000</v>
      </c>
      <c r="E46" s="85">
        <v>15613</v>
      </c>
      <c r="F46" s="148">
        <f t="shared" si="26"/>
        <v>2387</v>
      </c>
      <c r="G46" s="85">
        <v>12600</v>
      </c>
      <c r="H46" s="85">
        <v>14908</v>
      </c>
      <c r="I46" s="148">
        <f t="shared" si="27"/>
        <v>-2308</v>
      </c>
      <c r="J46" s="85">
        <v>10743</v>
      </c>
      <c r="K46" s="168">
        <f t="shared" si="28"/>
        <v>1857</v>
      </c>
      <c r="L46" s="85">
        <v>10733.82</v>
      </c>
      <c r="M46" s="85">
        <v>10490.76</v>
      </c>
      <c r="N46" s="85">
        <v>10147.939999999999</v>
      </c>
      <c r="O46" s="85">
        <v>8725</v>
      </c>
      <c r="P46" s="86">
        <v>6649</v>
      </c>
      <c r="Q46" s="85">
        <v>7860</v>
      </c>
      <c r="R46" s="31">
        <v>7799</v>
      </c>
      <c r="S46" s="26">
        <v>8286</v>
      </c>
      <c r="T46" s="31">
        <v>0</v>
      </c>
      <c r="U46" s="32">
        <v>0</v>
      </c>
      <c r="V46" s="32">
        <v>0</v>
      </c>
      <c r="W46" s="18"/>
      <c r="X46" s="26">
        <f t="shared" si="29"/>
        <v>-2308</v>
      </c>
      <c r="Y46" s="27">
        <f>X46/H46</f>
        <v>-0.15481620606385832</v>
      </c>
      <c r="Z46" s="18"/>
      <c r="AD46" s="21"/>
    </row>
    <row r="47" spans="2:30" ht="13.2" hidden="1" customHeight="1" x14ac:dyDescent="0.25">
      <c r="B47" s="30" t="s">
        <v>52</v>
      </c>
      <c r="D47" s="85">
        <v>0</v>
      </c>
      <c r="E47" s="85"/>
      <c r="F47" s="148">
        <f t="shared" si="26"/>
        <v>0</v>
      </c>
      <c r="G47" s="85">
        <v>0</v>
      </c>
      <c r="H47" s="85"/>
      <c r="I47" s="148">
        <f t="shared" si="27"/>
        <v>0</v>
      </c>
      <c r="J47" s="85">
        <f>'[5]FC 2019'!Q70</f>
        <v>0</v>
      </c>
      <c r="K47" s="168">
        <f t="shared" si="28"/>
        <v>0</v>
      </c>
      <c r="L47" s="85">
        <v>0</v>
      </c>
      <c r="M47" s="85">
        <v>0</v>
      </c>
      <c r="N47" s="85">
        <v>0</v>
      </c>
      <c r="O47" s="85">
        <f>'[5]FC 2019'!Q70</f>
        <v>0</v>
      </c>
      <c r="P47" s="86"/>
      <c r="Q47" s="85">
        <v>0</v>
      </c>
      <c r="R47" s="31">
        <v>0</v>
      </c>
      <c r="S47" s="26"/>
      <c r="T47" s="31"/>
      <c r="U47" s="32"/>
      <c r="V47" s="32"/>
      <c r="W47" s="18"/>
      <c r="X47" s="26">
        <f t="shared" si="29"/>
        <v>0</v>
      </c>
      <c r="Y47" s="27">
        <f>IF(X47=0,0,X47/H47)</f>
        <v>0</v>
      </c>
      <c r="Z47" s="18"/>
      <c r="AD47" s="21"/>
    </row>
    <row r="48" spans="2:30" ht="13.2" hidden="1" customHeight="1" x14ac:dyDescent="0.25">
      <c r="B48" s="30" t="s">
        <v>53</v>
      </c>
      <c r="D48" s="85"/>
      <c r="E48" s="85"/>
      <c r="F48" s="148">
        <f t="shared" si="26"/>
        <v>0</v>
      </c>
      <c r="G48" s="85"/>
      <c r="H48" s="85"/>
      <c r="I48" s="148">
        <f t="shared" si="27"/>
        <v>0</v>
      </c>
      <c r="J48" s="85"/>
      <c r="K48" s="168">
        <f t="shared" si="28"/>
        <v>0</v>
      </c>
      <c r="L48" s="85">
        <v>0</v>
      </c>
      <c r="M48" s="85"/>
      <c r="N48" s="85"/>
      <c r="O48" s="85"/>
      <c r="P48" s="86"/>
      <c r="Q48" s="85"/>
      <c r="R48" s="31">
        <v>0</v>
      </c>
      <c r="S48" s="26"/>
      <c r="T48" s="31"/>
      <c r="U48" s="32"/>
      <c r="V48" s="32"/>
      <c r="W48" s="18"/>
      <c r="X48" s="26">
        <f t="shared" si="29"/>
        <v>0</v>
      </c>
      <c r="Y48" s="27">
        <f>IF(X48=0,0,X48/H48)</f>
        <v>0</v>
      </c>
      <c r="Z48" s="18"/>
      <c r="AD48" s="21"/>
    </row>
    <row r="49" spans="2:30" ht="13.2" customHeight="1" x14ac:dyDescent="0.25">
      <c r="B49" s="30" t="s">
        <v>54</v>
      </c>
      <c r="D49" s="85">
        <v>28800</v>
      </c>
      <c r="E49" s="85">
        <v>23214</v>
      </c>
      <c r="F49" s="148">
        <f t="shared" si="26"/>
        <v>5586</v>
      </c>
      <c r="G49" s="85">
        <v>32664</v>
      </c>
      <c r="H49" s="85">
        <v>19158</v>
      </c>
      <c r="I49" s="148">
        <f t="shared" si="27"/>
        <v>13506</v>
      </c>
      <c r="J49" s="85">
        <v>18282</v>
      </c>
      <c r="K49" s="168">
        <f t="shared" si="28"/>
        <v>14382</v>
      </c>
      <c r="L49" s="85">
        <v>15372.07</v>
      </c>
      <c r="M49" s="85">
        <v>15686.89</v>
      </c>
      <c r="N49" s="85">
        <v>16422.18</v>
      </c>
      <c r="O49" s="85">
        <v>15948</v>
      </c>
      <c r="P49" s="86">
        <v>13120</v>
      </c>
      <c r="Q49" s="85">
        <v>14354</v>
      </c>
      <c r="R49" s="31">
        <v>13566</v>
      </c>
      <c r="S49" s="26">
        <v>13685</v>
      </c>
      <c r="T49" s="31">
        <v>0</v>
      </c>
      <c r="U49" s="32">
        <v>0</v>
      </c>
      <c r="V49" s="32">
        <v>0</v>
      </c>
      <c r="W49" s="18"/>
      <c r="X49" s="26">
        <f t="shared" si="29"/>
        <v>13506</v>
      </c>
      <c r="Y49" s="27">
        <f>X49/H49</f>
        <v>0.70497964296899462</v>
      </c>
      <c r="Z49" s="18"/>
      <c r="AD49" s="21"/>
    </row>
    <row r="50" spans="2:30" ht="12.15" customHeight="1" x14ac:dyDescent="0.25">
      <c r="B50" s="33"/>
      <c r="D50" s="87"/>
      <c r="E50" s="87"/>
      <c r="F50" s="155">
        <f t="shared" si="26"/>
        <v>0</v>
      </c>
      <c r="G50" s="87"/>
      <c r="H50" s="87"/>
      <c r="I50" s="155">
        <f t="shared" si="27"/>
        <v>0</v>
      </c>
      <c r="J50" s="87"/>
      <c r="K50" s="179"/>
      <c r="L50" s="87"/>
      <c r="M50" s="87"/>
      <c r="N50" s="87"/>
      <c r="O50" s="87"/>
      <c r="P50" s="87"/>
      <c r="Q50" s="87"/>
      <c r="R50" s="34"/>
      <c r="S50" s="35"/>
      <c r="T50" s="34"/>
      <c r="U50" s="88"/>
      <c r="V50" s="88"/>
      <c r="W50" s="18"/>
      <c r="X50" s="26">
        <f t="shared" si="29"/>
        <v>0</v>
      </c>
      <c r="Y50" s="27"/>
      <c r="Z50" s="18"/>
      <c r="AD50" s="21"/>
    </row>
    <row r="51" spans="2:30" ht="12" customHeight="1" x14ac:dyDescent="0.25">
      <c r="B51" s="71" t="s">
        <v>55</v>
      </c>
      <c r="C51" s="4"/>
      <c r="D51" s="89">
        <f>SUM(D44:D49)</f>
        <v>286800</v>
      </c>
      <c r="E51" s="89">
        <f>SUM(E44:E49)</f>
        <v>261620</v>
      </c>
      <c r="F51" s="156">
        <f t="shared" si="26"/>
        <v>25180</v>
      </c>
      <c r="G51" s="89">
        <f>SUM(G44:G49)</f>
        <v>298464</v>
      </c>
      <c r="H51" s="89">
        <f>SUM(H44:H49)</f>
        <v>223391</v>
      </c>
      <c r="I51" s="156">
        <f t="shared" si="27"/>
        <v>75073</v>
      </c>
      <c r="J51" s="89">
        <f>SUM(J44:J49)</f>
        <v>217952</v>
      </c>
      <c r="K51" s="180">
        <f t="shared" ref="K51" si="30">+G51-J51</f>
        <v>80512</v>
      </c>
      <c r="L51" s="89">
        <v>184461.3</v>
      </c>
      <c r="M51" s="89">
        <v>187211.82</v>
      </c>
      <c r="N51" s="89">
        <f t="shared" ref="N51:S51" si="31">SUM(N44:N49)</f>
        <v>197716.59</v>
      </c>
      <c r="O51" s="89">
        <f t="shared" si="31"/>
        <v>203165</v>
      </c>
      <c r="P51" s="89">
        <f t="shared" si="31"/>
        <v>170212</v>
      </c>
      <c r="Q51" s="89">
        <f t="shared" si="31"/>
        <v>189122</v>
      </c>
      <c r="R51" s="89">
        <f t="shared" si="31"/>
        <v>172879</v>
      </c>
      <c r="S51" s="89">
        <f t="shared" si="31"/>
        <v>182678</v>
      </c>
      <c r="T51" s="89">
        <v>178966</v>
      </c>
      <c r="U51" s="73">
        <v>156327</v>
      </c>
      <c r="V51" s="73">
        <v>170404</v>
      </c>
      <c r="W51" s="25"/>
      <c r="X51" s="72">
        <f t="shared" si="29"/>
        <v>75073</v>
      </c>
      <c r="Y51" s="74">
        <f>X51/H51</f>
        <v>0.33606098723762373</v>
      </c>
      <c r="Z51" s="75"/>
      <c r="AD51" s="29"/>
    </row>
    <row r="52" spans="2:30" ht="12" customHeight="1" x14ac:dyDescent="0.25">
      <c r="B52" s="48"/>
      <c r="C52" s="49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7"/>
      <c r="X52" s="76"/>
      <c r="Y52" s="76"/>
      <c r="Z52" s="77"/>
      <c r="AD52" s="59"/>
    </row>
    <row r="53" spans="2:30" ht="12" customHeight="1" x14ac:dyDescent="0.25">
      <c r="B53" s="64" t="s">
        <v>56</v>
      </c>
      <c r="C53" s="4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10"/>
      <c r="X53" s="78"/>
      <c r="Y53" s="78"/>
      <c r="Z53" s="10"/>
      <c r="AD53" s="59"/>
    </row>
    <row r="54" spans="2:30" ht="12" customHeight="1" x14ac:dyDescent="0.25">
      <c r="B54" s="30" t="s">
        <v>57</v>
      </c>
      <c r="D54" s="81">
        <v>1860</v>
      </c>
      <c r="E54" s="81">
        <v>2040</v>
      </c>
      <c r="F54" s="148">
        <f t="shared" ref="F54:F65" si="32">D54-E54</f>
        <v>-180</v>
      </c>
      <c r="G54" s="81">
        <v>1860</v>
      </c>
      <c r="H54" s="81">
        <v>2180</v>
      </c>
      <c r="I54" s="148">
        <f t="shared" ref="I54:I65" si="33">G54-H54</f>
        <v>-320</v>
      </c>
      <c r="J54" s="81">
        <v>1860</v>
      </c>
      <c r="K54" s="181">
        <f t="shared" ref="K54:K65" si="34">+G54-J54</f>
        <v>0</v>
      </c>
      <c r="L54" s="81">
        <v>1810</v>
      </c>
      <c r="M54" s="81">
        <v>1800</v>
      </c>
      <c r="N54" s="81">
        <v>1850</v>
      </c>
      <c r="O54" s="81">
        <f>'[5]FC 2019'!Q77</f>
        <v>1860</v>
      </c>
      <c r="P54" s="81">
        <v>1800</v>
      </c>
      <c r="Q54" s="81">
        <v>1822</v>
      </c>
      <c r="R54" s="81">
        <v>1800</v>
      </c>
      <c r="S54" s="81">
        <v>1824.5</v>
      </c>
      <c r="T54" s="81">
        <v>1800</v>
      </c>
      <c r="U54" s="81">
        <v>1800</v>
      </c>
      <c r="V54" s="81">
        <v>1800</v>
      </c>
      <c r="W54" s="90"/>
      <c r="X54" s="26">
        <f t="shared" ref="X54:X65" si="35">G54-H54</f>
        <v>-320</v>
      </c>
      <c r="Y54" s="27">
        <f>X54/H54</f>
        <v>-0.14678899082568808</v>
      </c>
      <c r="Z54" s="90"/>
      <c r="AD54" s="21"/>
    </row>
    <row r="55" spans="2:30" ht="12.15" customHeight="1" x14ac:dyDescent="0.25">
      <c r="B55" s="30" t="s">
        <v>58</v>
      </c>
      <c r="D55" s="31">
        <v>30000</v>
      </c>
      <c r="E55" s="31">
        <v>20318</v>
      </c>
      <c r="F55" s="148">
        <f t="shared" si="32"/>
        <v>9682</v>
      </c>
      <c r="G55" s="31">
        <v>30000</v>
      </c>
      <c r="H55" s="31">
        <v>40711</v>
      </c>
      <c r="I55" s="148">
        <f t="shared" si="33"/>
        <v>-10711</v>
      </c>
      <c r="J55" s="31">
        <v>26905</v>
      </c>
      <c r="K55" s="168">
        <f t="shared" si="34"/>
        <v>3095</v>
      </c>
      <c r="L55" s="31">
        <v>34975</v>
      </c>
      <c r="M55" s="31">
        <v>29707.51</v>
      </c>
      <c r="N55" s="31">
        <v>20994.839999999997</v>
      </c>
      <c r="O55" s="31">
        <v>36960</v>
      </c>
      <c r="P55" s="31">
        <v>29917</v>
      </c>
      <c r="Q55" s="31">
        <v>29473</v>
      </c>
      <c r="R55" s="31">
        <v>33190</v>
      </c>
      <c r="S55" s="31">
        <v>24414.799999999999</v>
      </c>
      <c r="T55" s="31">
        <v>26044.34</v>
      </c>
      <c r="U55" s="31">
        <v>31692.9</v>
      </c>
      <c r="V55" s="31">
        <v>17335.240000000002</v>
      </c>
      <c r="W55" s="90"/>
      <c r="X55" s="26">
        <f t="shared" si="35"/>
        <v>-10711</v>
      </c>
      <c r="Y55" s="27">
        <f>X55/H55</f>
        <v>-0.2630984254869691</v>
      </c>
      <c r="Z55" s="90"/>
      <c r="AD55" s="21"/>
    </row>
    <row r="56" spans="2:30" ht="16.2" customHeight="1" x14ac:dyDescent="0.25">
      <c r="B56" s="30" t="s">
        <v>59</v>
      </c>
      <c r="D56" s="31">
        <v>42000</v>
      </c>
      <c r="E56" s="31">
        <v>25953</v>
      </c>
      <c r="F56" s="148">
        <f t="shared" si="32"/>
        <v>16047</v>
      </c>
      <c r="G56" s="31">
        <v>49200</v>
      </c>
      <c r="H56" s="31">
        <v>25231</v>
      </c>
      <c r="I56" s="148">
        <f t="shared" si="33"/>
        <v>23969</v>
      </c>
      <c r="J56" s="31">
        <v>114706</v>
      </c>
      <c r="K56" s="168">
        <f t="shared" si="34"/>
        <v>-65506</v>
      </c>
      <c r="L56" s="31">
        <v>111965.47</v>
      </c>
      <c r="M56" s="31">
        <v>132409.34</v>
      </c>
      <c r="N56" s="31">
        <v>82335.88</v>
      </c>
      <c r="O56" s="31">
        <v>67194</v>
      </c>
      <c r="P56" s="31">
        <v>70357</v>
      </c>
      <c r="Q56" s="31">
        <v>15842</v>
      </c>
      <c r="R56" s="31">
        <v>16461</v>
      </c>
      <c r="S56" s="31">
        <v>14193.15</v>
      </c>
      <c r="T56" s="31">
        <v>20512.099999999999</v>
      </c>
      <c r="U56" s="31">
        <v>37784.43</v>
      </c>
      <c r="V56" s="31">
        <v>1084.43</v>
      </c>
      <c r="W56" s="90"/>
      <c r="X56" s="26">
        <f t="shared" si="35"/>
        <v>23969</v>
      </c>
      <c r="Y56" s="27">
        <f>X56/H56</f>
        <v>0.94998216479727315</v>
      </c>
      <c r="Z56" s="90"/>
      <c r="AD56" s="21"/>
    </row>
    <row r="57" spans="2:30" ht="0.6" customHeight="1" x14ac:dyDescent="0.25">
      <c r="B57" s="30" t="s">
        <v>60</v>
      </c>
      <c r="D57" s="31"/>
      <c r="E57" s="31"/>
      <c r="F57" s="148">
        <f t="shared" si="32"/>
        <v>0</v>
      </c>
      <c r="G57" s="31"/>
      <c r="H57" s="31"/>
      <c r="I57" s="148">
        <f t="shared" si="33"/>
        <v>0</v>
      </c>
      <c r="J57" s="31"/>
      <c r="K57" s="168">
        <f t="shared" si="34"/>
        <v>0</v>
      </c>
      <c r="L57" s="31">
        <v>420.02</v>
      </c>
      <c r="M57" s="31"/>
      <c r="N57" s="31"/>
      <c r="O57" s="31"/>
      <c r="P57" s="31"/>
      <c r="Q57" s="31"/>
      <c r="R57" s="31"/>
      <c r="S57" s="31"/>
      <c r="T57" s="31"/>
      <c r="U57" s="31">
        <v>0</v>
      </c>
      <c r="V57" s="31">
        <v>0</v>
      </c>
      <c r="W57" s="90"/>
      <c r="X57" s="26">
        <f t="shared" si="35"/>
        <v>0</v>
      </c>
      <c r="Y57" s="27">
        <f>IF(H57=0,0,X57/H57)</f>
        <v>0</v>
      </c>
      <c r="Z57" s="90"/>
      <c r="AD57" s="21"/>
    </row>
    <row r="58" spans="2:30" ht="16.2" customHeight="1" x14ac:dyDescent="0.25">
      <c r="B58" s="30" t="s">
        <v>61</v>
      </c>
      <c r="D58" s="91">
        <v>549.95999999999992</v>
      </c>
      <c r="E58" s="91"/>
      <c r="F58" s="148">
        <f t="shared" si="32"/>
        <v>549.95999999999992</v>
      </c>
      <c r="G58" s="91">
        <v>550</v>
      </c>
      <c r="H58" s="91">
        <v>85</v>
      </c>
      <c r="I58" s="148">
        <f t="shared" si="33"/>
        <v>465</v>
      </c>
      <c r="J58" s="31">
        <v>256</v>
      </c>
      <c r="K58" s="168">
        <f t="shared" si="34"/>
        <v>294</v>
      </c>
      <c r="L58" s="31">
        <v>420.02</v>
      </c>
      <c r="M58" s="31">
        <v>317.01</v>
      </c>
      <c r="N58" s="31">
        <v>1374.94</v>
      </c>
      <c r="O58" s="31">
        <v>1057</v>
      </c>
      <c r="P58" s="31"/>
      <c r="Q58" s="31">
        <v>0</v>
      </c>
      <c r="R58" s="31">
        <v>0</v>
      </c>
      <c r="S58" s="31">
        <v>0</v>
      </c>
      <c r="T58" s="31">
        <v>0</v>
      </c>
      <c r="U58" s="31">
        <v>120</v>
      </c>
      <c r="V58" s="31">
        <v>91.33</v>
      </c>
      <c r="W58" s="90"/>
      <c r="X58" s="26">
        <f t="shared" si="35"/>
        <v>465</v>
      </c>
      <c r="Y58" s="27">
        <f>X58/H58</f>
        <v>5.4705882352941178</v>
      </c>
      <c r="Z58" s="90"/>
      <c r="AD58" s="21"/>
    </row>
    <row r="59" spans="2:30" ht="12.15" customHeight="1" x14ac:dyDescent="0.25">
      <c r="B59" s="30" t="s">
        <v>62</v>
      </c>
      <c r="D59" s="91">
        <v>21671.300000000003</v>
      </c>
      <c r="E59" s="91">
        <v>18673</v>
      </c>
      <c r="F59" s="148">
        <f t="shared" si="32"/>
        <v>2998.3000000000029</v>
      </c>
      <c r="G59" s="91">
        <v>18260.5</v>
      </c>
      <c r="H59" s="91">
        <v>9563</v>
      </c>
      <c r="I59" s="148">
        <f t="shared" si="33"/>
        <v>8697.5</v>
      </c>
      <c r="J59" s="31">
        <v>9543</v>
      </c>
      <c r="K59" s="168">
        <f t="shared" si="34"/>
        <v>8717.5</v>
      </c>
      <c r="L59" s="31">
        <v>8741.02</v>
      </c>
      <c r="M59" s="31">
        <v>4112.76</v>
      </c>
      <c r="N59" s="31">
        <v>5823.4400000000005</v>
      </c>
      <c r="O59" s="31">
        <v>-252</v>
      </c>
      <c r="P59" s="31">
        <v>9309</v>
      </c>
      <c r="Q59" s="31">
        <v>6222</v>
      </c>
      <c r="R59" s="31">
        <v>6105</v>
      </c>
      <c r="S59" s="31">
        <v>7752.02</v>
      </c>
      <c r="T59" s="31">
        <v>7493.46</v>
      </c>
      <c r="U59" s="31">
        <v>3842.8</v>
      </c>
      <c r="V59" s="31">
        <v>4168</v>
      </c>
      <c r="W59" s="90"/>
      <c r="X59" s="26">
        <f t="shared" si="35"/>
        <v>8697.5</v>
      </c>
      <c r="Y59" s="27">
        <f>X59/H59</f>
        <v>0.90949492836975843</v>
      </c>
      <c r="Z59" s="90"/>
      <c r="AD59" s="21"/>
    </row>
    <row r="60" spans="2:30" ht="12.15" customHeight="1" x14ac:dyDescent="0.25">
      <c r="B60" s="30" t="s">
        <v>63</v>
      </c>
      <c r="D60" s="91">
        <v>49440</v>
      </c>
      <c r="E60" s="91">
        <v>49466</v>
      </c>
      <c r="F60" s="148">
        <f t="shared" si="32"/>
        <v>-26</v>
      </c>
      <c r="G60" s="91">
        <v>49440</v>
      </c>
      <c r="H60" s="91">
        <v>38131</v>
      </c>
      <c r="I60" s="148">
        <f t="shared" si="33"/>
        <v>11309</v>
      </c>
      <c r="J60" s="31">
        <v>51627</v>
      </c>
      <c r="K60" s="168">
        <f t="shared" si="34"/>
        <v>-2187</v>
      </c>
      <c r="L60" s="31">
        <v>51808.59</v>
      </c>
      <c r="M60" s="31">
        <v>53915.520000000004</v>
      </c>
      <c r="N60" s="31">
        <v>52952.359999999993</v>
      </c>
      <c r="O60" s="31">
        <v>48533</v>
      </c>
      <c r="P60" s="31">
        <v>48916</v>
      </c>
      <c r="Q60" s="31">
        <v>47190</v>
      </c>
      <c r="R60" s="31">
        <v>49395</v>
      </c>
      <c r="S60" s="31">
        <v>45600</v>
      </c>
      <c r="T60" s="31">
        <v>46356.45</v>
      </c>
      <c r="U60" s="31">
        <v>45047</v>
      </c>
      <c r="V60" s="31">
        <v>0</v>
      </c>
      <c r="W60" s="90"/>
      <c r="X60" s="26">
        <f t="shared" si="35"/>
        <v>11309</v>
      </c>
      <c r="Y60" s="27">
        <f>X60/H60</f>
        <v>0.29658283286564735</v>
      </c>
      <c r="Z60" s="90"/>
      <c r="AD60" s="21"/>
    </row>
    <row r="61" spans="2:30" ht="12.15" customHeight="1" x14ac:dyDescent="0.25">
      <c r="B61" s="30" t="s">
        <v>25</v>
      </c>
      <c r="D61" s="91">
        <v>698304.60000000009</v>
      </c>
      <c r="E61" s="91">
        <v>665051</v>
      </c>
      <c r="F61" s="148">
        <f t="shared" si="32"/>
        <v>33253.600000000093</v>
      </c>
      <c r="G61" s="91">
        <v>655057</v>
      </c>
      <c r="H61" s="91">
        <v>645686</v>
      </c>
      <c r="I61" s="148">
        <f t="shared" si="33"/>
        <v>9371</v>
      </c>
      <c r="J61" s="31">
        <v>626880</v>
      </c>
      <c r="K61" s="168">
        <f t="shared" si="34"/>
        <v>28177</v>
      </c>
      <c r="L61" s="31">
        <v>608618.21444400004</v>
      </c>
      <c r="M61" s="31">
        <v>625894.31000000006</v>
      </c>
      <c r="N61" s="31">
        <v>582293</v>
      </c>
      <c r="O61" s="31">
        <v>556972</v>
      </c>
      <c r="P61" s="31">
        <v>536556</v>
      </c>
      <c r="Q61" s="31">
        <v>425460</v>
      </c>
      <c r="R61" s="31">
        <v>342746</v>
      </c>
      <c r="S61" s="31">
        <v>342746</v>
      </c>
      <c r="T61" s="31">
        <v>356222</v>
      </c>
      <c r="U61" s="31">
        <v>347070.26</v>
      </c>
      <c r="V61" s="31">
        <v>335472.2</v>
      </c>
      <c r="W61" s="90"/>
      <c r="X61" s="26">
        <f t="shared" si="35"/>
        <v>9371</v>
      </c>
      <c r="Y61" s="27">
        <f>X61/H61</f>
        <v>1.4513246376721812E-2</v>
      </c>
      <c r="Z61" s="90"/>
      <c r="AD61" s="21"/>
    </row>
    <row r="62" spans="2:30" ht="12.15" customHeight="1" x14ac:dyDescent="0.25">
      <c r="B62" s="30" t="s">
        <v>64</v>
      </c>
      <c r="D62" s="91">
        <v>24000</v>
      </c>
      <c r="E62" s="91">
        <v>18540</v>
      </c>
      <c r="F62" s="148">
        <f t="shared" si="32"/>
        <v>5460</v>
      </c>
      <c r="G62" s="91">
        <v>24000</v>
      </c>
      <c r="H62" s="91">
        <v>23332</v>
      </c>
      <c r="I62" s="148">
        <f t="shared" si="33"/>
        <v>668</v>
      </c>
      <c r="J62" s="31">
        <v>34168</v>
      </c>
      <c r="K62" s="168">
        <f t="shared" si="34"/>
        <v>-10168</v>
      </c>
      <c r="L62" s="31">
        <v>27343.629999999994</v>
      </c>
      <c r="M62" s="31">
        <v>43154.520000000011</v>
      </c>
      <c r="N62" s="31">
        <v>66188.709999999992</v>
      </c>
      <c r="O62" s="31">
        <v>64276</v>
      </c>
      <c r="P62" s="31">
        <v>3936</v>
      </c>
      <c r="Q62" s="31">
        <v>4562</v>
      </c>
      <c r="R62" s="31">
        <v>1255</v>
      </c>
      <c r="S62" s="31">
        <v>5784.21</v>
      </c>
      <c r="T62" s="31">
        <v>737.57</v>
      </c>
      <c r="U62" s="31">
        <v>3201.24</v>
      </c>
      <c r="V62" s="31">
        <v>361.92</v>
      </c>
      <c r="W62" s="90"/>
      <c r="X62" s="26">
        <f t="shared" si="35"/>
        <v>668</v>
      </c>
      <c r="Y62" s="27">
        <f>X62/H62</f>
        <v>2.8630207440425166E-2</v>
      </c>
      <c r="Z62" s="90"/>
      <c r="AD62" s="21"/>
    </row>
    <row r="63" spans="2:30" ht="12.15" customHeight="1" x14ac:dyDescent="0.25">
      <c r="B63" s="30" t="s">
        <v>65</v>
      </c>
      <c r="D63" s="91">
        <v>0</v>
      </c>
      <c r="E63" s="31">
        <v>0</v>
      </c>
      <c r="F63" s="148">
        <f t="shared" si="32"/>
        <v>0</v>
      </c>
      <c r="G63" s="91"/>
      <c r="H63" s="31"/>
      <c r="I63" s="148">
        <f t="shared" si="33"/>
        <v>0</v>
      </c>
      <c r="J63" s="31"/>
      <c r="K63" s="168">
        <f t="shared" si="34"/>
        <v>0</v>
      </c>
      <c r="L63" s="31">
        <v>0</v>
      </c>
      <c r="M63" s="31">
        <v>0</v>
      </c>
      <c r="N63" s="31"/>
      <c r="O63" s="31">
        <f>'[5]FC 2019'!Q85</f>
        <v>0</v>
      </c>
      <c r="P63" s="31">
        <f>'[5]FC 2019'!Q85</f>
        <v>0</v>
      </c>
      <c r="Q63" s="31">
        <v>0</v>
      </c>
      <c r="R63" s="31">
        <v>78768</v>
      </c>
      <c r="S63" s="31">
        <v>78768</v>
      </c>
      <c r="T63" s="31">
        <v>75014</v>
      </c>
      <c r="U63" s="31">
        <v>71442</v>
      </c>
      <c r="V63" s="31">
        <v>68040</v>
      </c>
      <c r="W63" s="90"/>
      <c r="X63" s="26">
        <f t="shared" si="35"/>
        <v>0</v>
      </c>
      <c r="Y63" s="27">
        <f>IF(X63=0,0,X63/H63)</f>
        <v>0</v>
      </c>
      <c r="Z63" s="90"/>
      <c r="AD63" s="21"/>
    </row>
    <row r="64" spans="2:30" ht="12.15" customHeight="1" x14ac:dyDescent="0.25">
      <c r="B64" s="33" t="s">
        <v>66</v>
      </c>
      <c r="D64" s="34">
        <v>5600.04</v>
      </c>
      <c r="E64" s="34">
        <v>-250</v>
      </c>
      <c r="F64" s="150">
        <f t="shared" si="32"/>
        <v>5850.04</v>
      </c>
      <c r="G64" s="34">
        <v>5600</v>
      </c>
      <c r="H64" s="34">
        <v>2665</v>
      </c>
      <c r="I64" s="150">
        <f t="shared" si="33"/>
        <v>2935</v>
      </c>
      <c r="J64" s="34">
        <f>'[5]FC 2019'!Q86</f>
        <v>4800</v>
      </c>
      <c r="K64" s="171">
        <f t="shared" si="34"/>
        <v>800</v>
      </c>
      <c r="L64" s="34">
        <v>4200</v>
      </c>
      <c r="M64" s="34">
        <v>4200</v>
      </c>
      <c r="N64" s="34">
        <v>2800</v>
      </c>
      <c r="O64" s="34">
        <v>2500</v>
      </c>
      <c r="P64" s="34">
        <v>5900</v>
      </c>
      <c r="Q64" s="34">
        <v>7480</v>
      </c>
      <c r="R64" s="34">
        <v>9880</v>
      </c>
      <c r="S64" s="34">
        <v>9800</v>
      </c>
      <c r="T64" s="34">
        <v>3500</v>
      </c>
      <c r="U64" s="34">
        <v>0</v>
      </c>
      <c r="V64" s="34">
        <v>2706</v>
      </c>
      <c r="W64" s="90"/>
      <c r="X64" s="26">
        <f t="shared" si="35"/>
        <v>2935</v>
      </c>
      <c r="Y64" s="27">
        <f>X64/H64</f>
        <v>1.1013133208255159</v>
      </c>
      <c r="Z64" s="90"/>
      <c r="AD64" s="21"/>
    </row>
    <row r="65" spans="2:30" ht="12.15" customHeight="1" x14ac:dyDescent="0.25">
      <c r="B65" s="71" t="s">
        <v>67</v>
      </c>
      <c r="C65" s="4"/>
      <c r="D65" s="92">
        <f>SUM(D54:D64)</f>
        <v>873425.90000000014</v>
      </c>
      <c r="E65" s="92">
        <f>SUM(E54:E64)</f>
        <v>799791</v>
      </c>
      <c r="F65" s="158">
        <f t="shared" si="32"/>
        <v>73634.90000000014</v>
      </c>
      <c r="G65" s="92">
        <f>SUM(G54:G64)</f>
        <v>833967.5</v>
      </c>
      <c r="H65" s="92">
        <f>SUM(H54:H64)</f>
        <v>787584</v>
      </c>
      <c r="I65" s="158">
        <f t="shared" si="33"/>
        <v>46383.5</v>
      </c>
      <c r="J65" s="92">
        <f>SUM(J54:J64)</f>
        <v>870745</v>
      </c>
      <c r="K65" s="182">
        <f t="shared" si="34"/>
        <v>-36777.5</v>
      </c>
      <c r="L65" s="92">
        <v>849883</v>
      </c>
      <c r="M65" s="92">
        <v>895510.97000000009</v>
      </c>
      <c r="N65" s="92">
        <f>SUM(N54:N64)</f>
        <v>816613.16999999993</v>
      </c>
      <c r="O65" s="92">
        <f>SUM(O54:O64)</f>
        <v>779100</v>
      </c>
      <c r="P65" s="92">
        <f t="shared" ref="P65:V65" si="36">SUM(P54:P64)</f>
        <v>706691</v>
      </c>
      <c r="Q65" s="92">
        <f t="shared" si="36"/>
        <v>538051</v>
      </c>
      <c r="R65" s="92">
        <f t="shared" si="36"/>
        <v>539600</v>
      </c>
      <c r="S65" s="45">
        <f t="shared" si="36"/>
        <v>530882.67999999993</v>
      </c>
      <c r="T65" s="89">
        <f t="shared" si="36"/>
        <v>537679.91999999993</v>
      </c>
      <c r="U65" s="73">
        <f t="shared" si="36"/>
        <v>542000.63</v>
      </c>
      <c r="V65" s="73">
        <f t="shared" si="36"/>
        <v>431059.12</v>
      </c>
      <c r="W65" s="93"/>
      <c r="X65" s="72">
        <f t="shared" si="35"/>
        <v>46383.5</v>
      </c>
      <c r="Y65" s="74">
        <f>X65/H65</f>
        <v>5.889340057695433E-2</v>
      </c>
      <c r="Z65" s="94"/>
      <c r="AD65" s="29"/>
    </row>
    <row r="66" spans="2:30" ht="5.0999999999999996" customHeight="1" x14ac:dyDescent="0.25">
      <c r="B66" s="48"/>
      <c r="C66" s="49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77"/>
      <c r="X66" s="76"/>
      <c r="Y66" s="76"/>
      <c r="Z66" s="77"/>
      <c r="AD66" s="59"/>
    </row>
    <row r="67" spans="2:30" x14ac:dyDescent="0.25">
      <c r="B67" s="64" t="s">
        <v>68</v>
      </c>
      <c r="C67" s="4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10"/>
      <c r="X67" s="9"/>
      <c r="Y67" s="9"/>
      <c r="Z67" s="10"/>
      <c r="AD67" s="59"/>
    </row>
    <row r="68" spans="2:30" ht="12.15" customHeight="1" x14ac:dyDescent="0.25">
      <c r="B68" s="96" t="s">
        <v>69</v>
      </c>
      <c r="C68" s="97">
        <f t="shared" ref="C68:V68" si="37">C41-C51-C65</f>
        <v>0</v>
      </c>
      <c r="D68" s="97">
        <f>D41-D51-D65</f>
        <v>1913392.0999999999</v>
      </c>
      <c r="E68" s="97">
        <f>E41-E51-E65</f>
        <v>1669504.3599999999</v>
      </c>
      <c r="F68" s="158">
        <f t="shared" ref="F68" si="38">D68-E68</f>
        <v>243887.74</v>
      </c>
      <c r="G68" s="97">
        <f>G41-G51-G65</f>
        <v>1695043.8099999996</v>
      </c>
      <c r="H68" s="97">
        <f>H41-H51-H65</f>
        <v>1577075</v>
      </c>
      <c r="I68" s="158">
        <f t="shared" ref="I68" si="39">G68-H68</f>
        <v>117968.80999999959</v>
      </c>
      <c r="J68" s="97">
        <f t="shared" si="37"/>
        <v>1936829</v>
      </c>
      <c r="K68" s="183">
        <f t="shared" ref="K68" si="40">+G68-J68</f>
        <v>-241785.19000000041</v>
      </c>
      <c r="L68" s="97">
        <f>L41-L51-L65</f>
        <v>1788075.79</v>
      </c>
      <c r="M68" s="97">
        <v>1949213.9066770417</v>
      </c>
      <c r="N68" s="97">
        <f t="shared" si="37"/>
        <v>1877306.6099999999</v>
      </c>
      <c r="O68" s="97">
        <f t="shared" si="37"/>
        <v>1848366</v>
      </c>
      <c r="P68" s="97">
        <f t="shared" si="37"/>
        <v>1799518</v>
      </c>
      <c r="Q68" s="97">
        <f t="shared" si="37"/>
        <v>1778984</v>
      </c>
      <c r="R68" s="97">
        <f t="shared" si="37"/>
        <v>1894746</v>
      </c>
      <c r="S68" s="98">
        <f t="shared" si="37"/>
        <v>1826524.18</v>
      </c>
      <c r="T68" s="55">
        <f t="shared" si="37"/>
        <v>1903314.1500000008</v>
      </c>
      <c r="U68" s="99">
        <f t="shared" si="37"/>
        <v>1742113.83</v>
      </c>
      <c r="V68" s="99">
        <f t="shared" si="37"/>
        <v>1925631.7299999991</v>
      </c>
      <c r="W68" s="93"/>
      <c r="X68" s="72">
        <f>G68-H68</f>
        <v>117968.80999999959</v>
      </c>
      <c r="Y68" s="74">
        <f>X68/H68</f>
        <v>7.4802282706909681E-2</v>
      </c>
      <c r="Z68" s="93"/>
      <c r="AD68" s="29"/>
    </row>
    <row r="69" spans="2:30" ht="12.15" customHeight="1" x14ac:dyDescent="0.25">
      <c r="B69" s="2"/>
      <c r="C69" s="4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93"/>
      <c r="X69" s="100"/>
      <c r="Y69" s="100"/>
      <c r="Z69" s="93"/>
      <c r="AD69" s="29"/>
    </row>
    <row r="70" spans="2:30" x14ac:dyDescent="0.25">
      <c r="B70" s="48"/>
      <c r="C70" s="49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7"/>
      <c r="X70" s="76"/>
      <c r="Y70" s="76"/>
      <c r="Z70" s="77"/>
      <c r="AD70" s="59"/>
    </row>
    <row r="71" spans="2:30" x14ac:dyDescent="0.25">
      <c r="B71" s="60" t="s">
        <v>70</v>
      </c>
      <c r="C71" s="6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2"/>
      <c r="T71" s="101"/>
      <c r="U71" s="101"/>
      <c r="V71" s="101"/>
      <c r="W71" s="101"/>
      <c r="X71" s="101"/>
      <c r="Y71" s="101"/>
      <c r="Z71" s="10"/>
      <c r="AD71" s="59"/>
    </row>
    <row r="72" spans="2:30" ht="5.0999999999999996" customHeight="1" x14ac:dyDescent="0.25">
      <c r="B72" s="48"/>
      <c r="C72" s="49"/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77"/>
      <c r="X72" s="103"/>
      <c r="Y72" s="103"/>
      <c r="Z72" s="77"/>
      <c r="AA72" s="1"/>
      <c r="AB72" s="1"/>
      <c r="AC72" s="1"/>
      <c r="AD72" s="59"/>
    </row>
    <row r="73" spans="2:30" x14ac:dyDescent="0.25">
      <c r="B73" s="64" t="s">
        <v>48</v>
      </c>
      <c r="C73" s="4"/>
      <c r="D73" s="14" t="str">
        <f>D3</f>
        <v>BUDGET 2022</v>
      </c>
      <c r="E73" s="14" t="str">
        <f>E3</f>
        <v>ACT 2021</v>
      </c>
      <c r="F73" s="147" t="s">
        <v>111</v>
      </c>
      <c r="G73" s="14" t="str">
        <f>G3</f>
        <v>BUDGET 2021</v>
      </c>
      <c r="H73" s="14" t="str">
        <f>H3</f>
        <v>ACTUAL 2020</v>
      </c>
      <c r="I73" s="147" t="s">
        <v>111</v>
      </c>
      <c r="J73" s="14" t="str">
        <f>J3</f>
        <v>ACTUAL 2019</v>
      </c>
      <c r="K73" s="185" t="str">
        <f>+K30</f>
        <v>B 2021 vs A2019</v>
      </c>
      <c r="L73" s="14" t="s">
        <v>3</v>
      </c>
      <c r="M73" s="14" t="s">
        <v>4</v>
      </c>
      <c r="N73" s="14" t="str">
        <f>N30</f>
        <v>ACTUAL 2016</v>
      </c>
      <c r="O73" s="14" t="str">
        <f>O3</f>
        <v>ACTUAL 2015</v>
      </c>
      <c r="P73" s="14" t="str">
        <f t="shared" ref="P73:V73" si="41">P30</f>
        <v>ACTUAL 2014</v>
      </c>
      <c r="Q73" s="14" t="str">
        <f t="shared" si="41"/>
        <v>ACTUAL 2013</v>
      </c>
      <c r="R73" s="14" t="str">
        <f t="shared" si="41"/>
        <v>ACTUAL 2012</v>
      </c>
      <c r="S73" s="14" t="str">
        <f t="shared" si="41"/>
        <v>ACTUAL 2011</v>
      </c>
      <c r="T73" s="14" t="str">
        <f t="shared" si="41"/>
        <v>ACTUAL 2010</v>
      </c>
      <c r="U73" s="14" t="str">
        <f t="shared" si="41"/>
        <v>ACTUAL 2009</v>
      </c>
      <c r="V73" s="14" t="str">
        <f t="shared" si="41"/>
        <v>ACTUAL 2008</v>
      </c>
      <c r="W73" s="10"/>
      <c r="X73" s="789" t="str">
        <f>X30</f>
        <v>Var Bud-21 Actual-20</v>
      </c>
      <c r="Y73" s="790"/>
      <c r="Z73" s="10"/>
      <c r="AD73" s="59"/>
    </row>
    <row r="74" spans="2:30" ht="12.15" customHeight="1" x14ac:dyDescent="0.25">
      <c r="B74" s="30" t="s">
        <v>18</v>
      </c>
      <c r="D74" s="85">
        <v>211200</v>
      </c>
      <c r="E74" s="85">
        <v>182144.05000000002</v>
      </c>
      <c r="F74" s="148">
        <f t="shared" ref="F74:F83" si="42">D74-E74</f>
        <v>29055.949999999983</v>
      </c>
      <c r="G74" s="85">
        <v>192000</v>
      </c>
      <c r="H74" s="85">
        <v>131734</v>
      </c>
      <c r="I74" s="148">
        <f t="shared" ref="I74:I83" si="43">G74-H74</f>
        <v>60266</v>
      </c>
      <c r="J74" s="85">
        <v>200345</v>
      </c>
      <c r="K74" s="184">
        <f t="shared" ref="K74:K81" si="44">+G74-J74</f>
        <v>-8345</v>
      </c>
      <c r="L74" s="85">
        <v>208615.64</v>
      </c>
      <c r="M74" s="85">
        <v>203742.61000000004</v>
      </c>
      <c r="N74" s="85">
        <v>207283.56</v>
      </c>
      <c r="O74" s="85">
        <v>238865.5</v>
      </c>
      <c r="P74" s="85">
        <v>252866</v>
      </c>
      <c r="Q74" s="85">
        <v>248141</v>
      </c>
      <c r="R74" s="81">
        <v>250143</v>
      </c>
      <c r="S74" s="26">
        <v>308638.75</v>
      </c>
      <c r="T74" s="31">
        <v>438068.65</v>
      </c>
      <c r="U74" s="32">
        <v>455222.16</v>
      </c>
      <c r="V74" s="32">
        <v>471032.92</v>
      </c>
      <c r="W74" s="18"/>
      <c r="X74" s="26">
        <f t="shared" ref="X74:X83" si="45">G74-H74</f>
        <v>60266</v>
      </c>
      <c r="Y74" s="27">
        <f t="shared" ref="Y74:Y81" si="46">X74/H74</f>
        <v>0.45748250261891388</v>
      </c>
      <c r="Z74" s="18"/>
      <c r="AD74" s="21"/>
    </row>
    <row r="75" spans="2:30" ht="12.15" customHeight="1" x14ac:dyDescent="0.25">
      <c r="B75" s="30" t="s">
        <v>71</v>
      </c>
      <c r="D75" s="85">
        <v>165300</v>
      </c>
      <c r="E75" s="85">
        <v>148912.44999999998</v>
      </c>
      <c r="F75" s="148">
        <f t="shared" si="42"/>
        <v>16387.550000000017</v>
      </c>
      <c r="G75" s="85">
        <v>162000</v>
      </c>
      <c r="H75" s="85">
        <v>97670</v>
      </c>
      <c r="I75" s="148">
        <f t="shared" si="43"/>
        <v>64330</v>
      </c>
      <c r="J75" s="85">
        <v>150261</v>
      </c>
      <c r="K75" s="184">
        <f t="shared" si="44"/>
        <v>11739</v>
      </c>
      <c r="L75" s="85">
        <v>115935.82500000001</v>
      </c>
      <c r="M75" s="85">
        <v>119721.65</v>
      </c>
      <c r="N75" s="85">
        <v>148554.33000000002</v>
      </c>
      <c r="O75" s="85">
        <v>139150</v>
      </c>
      <c r="P75" s="85">
        <v>147576</v>
      </c>
      <c r="Q75" s="85">
        <v>155011</v>
      </c>
      <c r="R75" s="31">
        <v>155579</v>
      </c>
      <c r="S75" s="26">
        <v>143878.29</v>
      </c>
      <c r="T75" s="31">
        <v>193005.24</v>
      </c>
      <c r="U75" s="32">
        <v>181966.72</v>
      </c>
      <c r="V75" s="32">
        <v>159499.6</v>
      </c>
      <c r="W75" s="18"/>
      <c r="X75" s="26">
        <f t="shared" si="45"/>
        <v>64330</v>
      </c>
      <c r="Y75" s="27">
        <f t="shared" si="46"/>
        <v>0.65864646257806903</v>
      </c>
      <c r="Z75" s="18"/>
      <c r="AD75" s="21"/>
    </row>
    <row r="76" spans="2:30" ht="12.15" customHeight="1" x14ac:dyDescent="0.25">
      <c r="B76" s="30" t="s">
        <v>72</v>
      </c>
      <c r="D76" s="85">
        <v>10014</v>
      </c>
      <c r="E76" s="85">
        <v>10008</v>
      </c>
      <c r="F76" s="148">
        <f t="shared" si="42"/>
        <v>6</v>
      </c>
      <c r="G76" s="85">
        <v>10014</v>
      </c>
      <c r="H76" s="85">
        <v>10008</v>
      </c>
      <c r="I76" s="148">
        <f t="shared" si="43"/>
        <v>6</v>
      </c>
      <c r="J76" s="85">
        <v>10008</v>
      </c>
      <c r="K76" s="184">
        <f t="shared" si="44"/>
        <v>6</v>
      </c>
      <c r="L76" s="85">
        <v>10009.92</v>
      </c>
      <c r="M76" s="85">
        <v>10009.92</v>
      </c>
      <c r="N76" s="85">
        <v>12439.599999999999</v>
      </c>
      <c r="O76" s="85">
        <v>23640</v>
      </c>
      <c r="P76" s="85">
        <v>23640</v>
      </c>
      <c r="Q76" s="85">
        <v>23640</v>
      </c>
      <c r="R76" s="31">
        <v>23640</v>
      </c>
      <c r="S76" s="26">
        <v>23640</v>
      </c>
      <c r="T76" s="31">
        <v>23640</v>
      </c>
      <c r="U76" s="32">
        <v>23640</v>
      </c>
      <c r="V76" s="32">
        <v>9984.0300000000007</v>
      </c>
      <c r="W76" s="18"/>
      <c r="X76" s="26">
        <f t="shared" si="45"/>
        <v>6</v>
      </c>
      <c r="Y76" s="27">
        <f t="shared" si="46"/>
        <v>5.9952038369304552E-4</v>
      </c>
      <c r="Z76" s="18"/>
      <c r="AD76" s="21"/>
    </row>
    <row r="77" spans="2:30" ht="12.15" customHeight="1" x14ac:dyDescent="0.25">
      <c r="B77" s="30" t="s">
        <v>50</v>
      </c>
      <c r="D77" s="85">
        <v>36000</v>
      </c>
      <c r="E77" s="85">
        <v>33366.69</v>
      </c>
      <c r="F77" s="148">
        <f t="shared" si="42"/>
        <v>2633.3099999999977</v>
      </c>
      <c r="G77" s="85">
        <v>36000</v>
      </c>
      <c r="H77" s="85">
        <v>24376</v>
      </c>
      <c r="I77" s="148">
        <f t="shared" si="43"/>
        <v>11624</v>
      </c>
      <c r="J77" s="85">
        <v>38921</v>
      </c>
      <c r="K77" s="184">
        <f t="shared" si="44"/>
        <v>-2921</v>
      </c>
      <c r="L77" s="85">
        <v>35630.759999999995</v>
      </c>
      <c r="M77" s="85">
        <v>46624.409999999989</v>
      </c>
      <c r="N77" s="85">
        <v>45683.05</v>
      </c>
      <c r="O77" s="85">
        <v>37249</v>
      </c>
      <c r="P77" s="85">
        <v>35128</v>
      </c>
      <c r="Q77" s="85">
        <v>34909</v>
      </c>
      <c r="R77" s="31">
        <v>36180</v>
      </c>
      <c r="S77" s="26">
        <v>35102.74</v>
      </c>
      <c r="T77" s="31"/>
      <c r="U77" s="32"/>
      <c r="V77" s="32"/>
      <c r="W77" s="18"/>
      <c r="X77" s="26">
        <f t="shared" si="45"/>
        <v>11624</v>
      </c>
      <c r="Y77" s="27">
        <f t="shared" si="46"/>
        <v>0.47686248769281259</v>
      </c>
      <c r="Z77" s="18"/>
      <c r="AD77" s="21"/>
    </row>
    <row r="78" spans="2:30" ht="12.15" customHeight="1" x14ac:dyDescent="0.25">
      <c r="B78" s="30" t="s">
        <v>73</v>
      </c>
      <c r="D78" s="85">
        <v>25200</v>
      </c>
      <c r="E78" s="85">
        <v>23457.16</v>
      </c>
      <c r="F78" s="148">
        <f t="shared" si="42"/>
        <v>1742.8400000000001</v>
      </c>
      <c r="G78" s="85">
        <v>16200</v>
      </c>
      <c r="H78" s="85">
        <v>16667</v>
      </c>
      <c r="I78" s="148">
        <f t="shared" si="43"/>
        <v>-467</v>
      </c>
      <c r="J78" s="85">
        <v>21146</v>
      </c>
      <c r="K78" s="184">
        <f t="shared" si="44"/>
        <v>-4946</v>
      </c>
      <c r="L78" s="85">
        <v>23287.79</v>
      </c>
      <c r="M78" s="85">
        <v>21182.420000000002</v>
      </c>
      <c r="N78" s="85">
        <v>22570.46</v>
      </c>
      <c r="O78" s="85">
        <v>22719</v>
      </c>
      <c r="P78" s="85">
        <v>24063</v>
      </c>
      <c r="Q78" s="85">
        <v>24508</v>
      </c>
      <c r="R78" s="31">
        <v>29319</v>
      </c>
      <c r="S78" s="26">
        <v>27096.65</v>
      </c>
      <c r="T78" s="31"/>
      <c r="U78" s="32"/>
      <c r="V78" s="32"/>
      <c r="W78" s="18"/>
      <c r="X78" s="26">
        <f t="shared" si="45"/>
        <v>-467</v>
      </c>
      <c r="Y78" s="27">
        <f t="shared" si="46"/>
        <v>-2.8019439611207776E-2</v>
      </c>
      <c r="Z78" s="18"/>
      <c r="AD78" s="21"/>
    </row>
    <row r="79" spans="2:30" ht="12.15" customHeight="1" x14ac:dyDescent="0.25">
      <c r="B79" s="30" t="s">
        <v>52</v>
      </c>
      <c r="D79" s="85">
        <v>10240</v>
      </c>
      <c r="E79" s="85">
        <v>8392.91</v>
      </c>
      <c r="F79" s="148">
        <f t="shared" si="42"/>
        <v>1847.0900000000001</v>
      </c>
      <c r="G79" s="85">
        <v>6240</v>
      </c>
      <c r="H79" s="85">
        <v>1694</v>
      </c>
      <c r="I79" s="148">
        <f t="shared" si="43"/>
        <v>4546</v>
      </c>
      <c r="J79" s="85">
        <v>9944</v>
      </c>
      <c r="K79" s="184">
        <f t="shared" si="44"/>
        <v>-3704</v>
      </c>
      <c r="L79" s="85">
        <v>9192.9800000000014</v>
      </c>
      <c r="M79" s="85">
        <v>8107.0499999999993</v>
      </c>
      <c r="N79" s="85">
        <v>10223.369999999999</v>
      </c>
      <c r="O79" s="85">
        <v>13344</v>
      </c>
      <c r="P79" s="85">
        <v>21008</v>
      </c>
      <c r="Q79" s="85">
        <v>5121</v>
      </c>
      <c r="R79" s="31">
        <v>0</v>
      </c>
      <c r="S79" s="26">
        <v>963.68</v>
      </c>
      <c r="T79" s="31"/>
      <c r="U79" s="32"/>
      <c r="V79" s="32"/>
      <c r="W79" s="18"/>
      <c r="X79" s="26">
        <f t="shared" si="45"/>
        <v>4546</v>
      </c>
      <c r="Y79" s="27">
        <f t="shared" si="46"/>
        <v>2.6835891381345927</v>
      </c>
      <c r="Z79" s="18"/>
      <c r="AD79" s="21"/>
    </row>
    <row r="80" spans="2:30" ht="12.15" customHeight="1" x14ac:dyDescent="0.25">
      <c r="B80" s="30" t="s">
        <v>53</v>
      </c>
      <c r="D80" s="85">
        <v>60000</v>
      </c>
      <c r="E80" s="85">
        <v>53206.06</v>
      </c>
      <c r="F80" s="148">
        <f t="shared" si="42"/>
        <v>6793.9400000000023</v>
      </c>
      <c r="G80" s="85">
        <v>51600</v>
      </c>
      <c r="H80" s="85">
        <v>56229</v>
      </c>
      <c r="I80" s="148">
        <f t="shared" si="43"/>
        <v>-4629</v>
      </c>
      <c r="J80" s="85">
        <v>56976</v>
      </c>
      <c r="K80" s="184">
        <f t="shared" si="44"/>
        <v>-5376</v>
      </c>
      <c r="L80" s="85">
        <v>57287.62</v>
      </c>
      <c r="M80" s="85">
        <v>48562.329999999987</v>
      </c>
      <c r="N80" s="85">
        <v>56043.369999999995</v>
      </c>
      <c r="O80" s="85">
        <v>55517</v>
      </c>
      <c r="P80" s="85">
        <v>61471</v>
      </c>
      <c r="Q80" s="85">
        <v>56415</v>
      </c>
      <c r="R80" s="31">
        <v>67504</v>
      </c>
      <c r="S80" s="26">
        <v>76812.56</v>
      </c>
      <c r="T80" s="31"/>
      <c r="U80" s="32"/>
      <c r="V80" s="32"/>
      <c r="W80" s="18"/>
      <c r="X80" s="26">
        <f t="shared" si="45"/>
        <v>-4629</v>
      </c>
      <c r="Y80" s="27">
        <f t="shared" si="46"/>
        <v>-8.2324067651923391E-2</v>
      </c>
      <c r="Z80" s="18"/>
      <c r="AD80" s="21"/>
    </row>
    <row r="81" spans="2:30" ht="12.15" customHeight="1" x14ac:dyDescent="0.25">
      <c r="B81" s="30" t="s">
        <v>54</v>
      </c>
      <c r="D81" s="85">
        <v>38026.26</v>
      </c>
      <c r="E81" s="85">
        <v>33579.17</v>
      </c>
      <c r="F81" s="148">
        <f t="shared" si="42"/>
        <v>4447.0900000000038</v>
      </c>
      <c r="G81" s="85">
        <v>42000</v>
      </c>
      <c r="H81" s="85">
        <v>23020</v>
      </c>
      <c r="I81" s="148">
        <f t="shared" si="43"/>
        <v>18980</v>
      </c>
      <c r="J81" s="85">
        <v>34030</v>
      </c>
      <c r="K81" s="184">
        <f t="shared" si="44"/>
        <v>7970</v>
      </c>
      <c r="L81" s="85">
        <v>32081.68</v>
      </c>
      <c r="M81" s="85">
        <v>34073.25</v>
      </c>
      <c r="N81" s="85">
        <v>37544.800000000003</v>
      </c>
      <c r="O81" s="85">
        <v>42187.5</v>
      </c>
      <c r="P81" s="85">
        <v>43312</v>
      </c>
      <c r="Q81" s="85">
        <v>42608</v>
      </c>
      <c r="R81" s="31">
        <v>44525</v>
      </c>
      <c r="S81" s="26">
        <v>48082.27</v>
      </c>
      <c r="T81" s="31"/>
      <c r="U81" s="32"/>
      <c r="V81" s="32"/>
      <c r="W81" s="18"/>
      <c r="X81" s="26">
        <f t="shared" si="45"/>
        <v>18980</v>
      </c>
      <c r="Y81" s="27">
        <f t="shared" si="46"/>
        <v>0.82450043440486531</v>
      </c>
      <c r="Z81" s="18"/>
      <c r="AD81" s="21"/>
    </row>
    <row r="82" spans="2:30" ht="12.15" customHeight="1" x14ac:dyDescent="0.25">
      <c r="B82" s="33"/>
      <c r="D82" s="87"/>
      <c r="E82" s="87"/>
      <c r="F82" s="155">
        <f t="shared" si="42"/>
        <v>0</v>
      </c>
      <c r="G82" s="87"/>
      <c r="H82" s="87"/>
      <c r="I82" s="155">
        <f t="shared" si="43"/>
        <v>0</v>
      </c>
      <c r="J82" s="87"/>
      <c r="K82" s="179"/>
      <c r="L82" s="87"/>
      <c r="M82" s="87"/>
      <c r="N82" s="87"/>
      <c r="O82" s="87"/>
      <c r="P82" s="87"/>
      <c r="Q82" s="87"/>
      <c r="R82" s="34"/>
      <c r="S82" s="35"/>
      <c r="T82" s="34"/>
      <c r="U82" s="88"/>
      <c r="V82" s="88"/>
      <c r="W82" s="18"/>
      <c r="X82" s="26">
        <f t="shared" si="45"/>
        <v>0</v>
      </c>
      <c r="Y82" s="27"/>
      <c r="Z82" s="18"/>
      <c r="AD82" s="21"/>
    </row>
    <row r="83" spans="2:30" ht="12.15" customHeight="1" x14ac:dyDescent="0.25">
      <c r="B83" s="71" t="s">
        <v>55</v>
      </c>
      <c r="C83" s="4"/>
      <c r="D83" s="89">
        <f>SUM(D74:D82)</f>
        <v>555980.26</v>
      </c>
      <c r="E83" s="89">
        <f>SUM(E74:E82)</f>
        <v>493066.48999999993</v>
      </c>
      <c r="F83" s="156">
        <f t="shared" si="42"/>
        <v>62913.770000000077</v>
      </c>
      <c r="G83" s="89">
        <f>SUM(G74:G82)</f>
        <v>516054</v>
      </c>
      <c r="H83" s="89">
        <f>SUM(H74:H82)</f>
        <v>361398</v>
      </c>
      <c r="I83" s="156">
        <f t="shared" si="43"/>
        <v>154656</v>
      </c>
      <c r="J83" s="89">
        <f>SUM(J74:J82)</f>
        <v>521631</v>
      </c>
      <c r="K83" s="183">
        <f t="shared" ref="K83" si="47">+G83-J83</f>
        <v>-5577</v>
      </c>
      <c r="L83" s="89">
        <v>492042.21499999997</v>
      </c>
      <c r="M83" s="89">
        <v>492023.6399999999</v>
      </c>
      <c r="N83" s="89">
        <f>SUM(N74:N82)</f>
        <v>540342.54</v>
      </c>
      <c r="O83" s="89">
        <f>SUM(O74:O82)</f>
        <v>572672</v>
      </c>
      <c r="P83" s="89">
        <f t="shared" ref="P83:V83" si="48">SUM(P74:P82)</f>
        <v>609064</v>
      </c>
      <c r="Q83" s="89">
        <f t="shared" si="48"/>
        <v>590353</v>
      </c>
      <c r="R83" s="89">
        <f t="shared" si="48"/>
        <v>606890</v>
      </c>
      <c r="S83" s="89">
        <f t="shared" si="48"/>
        <v>664214.94000000018</v>
      </c>
      <c r="T83" s="89">
        <f t="shared" si="48"/>
        <v>654713.89</v>
      </c>
      <c r="U83" s="89">
        <f t="shared" si="48"/>
        <v>660828.88</v>
      </c>
      <c r="V83" s="89">
        <f t="shared" si="48"/>
        <v>640516.55000000005</v>
      </c>
      <c r="W83" s="25"/>
      <c r="X83" s="72">
        <f t="shared" si="45"/>
        <v>154656</v>
      </c>
      <c r="Y83" s="74">
        <f>X83/H83</f>
        <v>0.42793817342652701</v>
      </c>
      <c r="Z83" s="25"/>
      <c r="AD83" s="29"/>
    </row>
    <row r="84" spans="2:30" ht="5.0999999999999996" customHeight="1" x14ac:dyDescent="0.25">
      <c r="B84" s="48"/>
      <c r="C84" s="49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7"/>
      <c r="X84" s="76"/>
      <c r="Y84" s="76"/>
      <c r="Z84" s="77"/>
      <c r="AD84" s="59"/>
    </row>
    <row r="85" spans="2:30" x14ac:dyDescent="0.25">
      <c r="B85" s="64" t="s">
        <v>56</v>
      </c>
      <c r="C85" s="4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10"/>
      <c r="X85" s="9"/>
      <c r="Y85" s="9"/>
      <c r="Z85" s="10"/>
      <c r="AD85" s="59"/>
    </row>
    <row r="86" spans="2:30" ht="12.15" customHeight="1" x14ac:dyDescent="0.25">
      <c r="B86" s="30" t="s">
        <v>74</v>
      </c>
      <c r="D86" s="81">
        <v>8400</v>
      </c>
      <c r="E86" s="81">
        <v>9012.02</v>
      </c>
      <c r="F86" s="148">
        <f t="shared" ref="F86:F103" si="49">D86-E86</f>
        <v>-612.02000000000044</v>
      </c>
      <c r="G86" s="81">
        <v>12800</v>
      </c>
      <c r="H86" s="81">
        <v>3053</v>
      </c>
      <c r="I86" s="148">
        <f t="shared" ref="I86:I103" si="50">G86-H86</f>
        <v>9747</v>
      </c>
      <c r="J86" s="81">
        <v>9416</v>
      </c>
      <c r="K86" s="184">
        <f t="shared" ref="K86:K103" si="51">+G86-J86</f>
        <v>3384</v>
      </c>
      <c r="L86" s="81">
        <v>7392.41</v>
      </c>
      <c r="M86" s="81">
        <v>4465.1399999999994</v>
      </c>
      <c r="N86" s="81">
        <v>8329.94</v>
      </c>
      <c r="O86" s="81">
        <v>15022</v>
      </c>
      <c r="P86" s="81">
        <v>19703</v>
      </c>
      <c r="Q86" s="81">
        <v>15872</v>
      </c>
      <c r="R86" s="81">
        <v>14526</v>
      </c>
      <c r="S86" s="81">
        <v>10056.780000000001</v>
      </c>
      <c r="T86" s="81">
        <v>6746.62</v>
      </c>
      <c r="U86" s="81">
        <v>9241.7900000000009</v>
      </c>
      <c r="V86" s="81">
        <v>4847.37</v>
      </c>
      <c r="W86" s="18"/>
      <c r="X86" s="82">
        <f t="shared" ref="X86:X103" si="52">G86-H86</f>
        <v>9747</v>
      </c>
      <c r="Y86" s="84">
        <f>X86/H86</f>
        <v>3.1925974451359318</v>
      </c>
      <c r="Z86" s="18"/>
      <c r="AD86" s="21"/>
    </row>
    <row r="87" spans="2:30" ht="12.15" customHeight="1" x14ac:dyDescent="0.25">
      <c r="B87" s="30" t="s">
        <v>75</v>
      </c>
      <c r="D87" s="31">
        <v>12000</v>
      </c>
      <c r="E87" s="31">
        <v>6482.7699999999995</v>
      </c>
      <c r="F87" s="148">
        <f t="shared" si="49"/>
        <v>5517.2300000000005</v>
      </c>
      <c r="G87" s="31">
        <v>6250</v>
      </c>
      <c r="H87" s="31">
        <v>21735</v>
      </c>
      <c r="I87" s="148">
        <f t="shared" si="50"/>
        <v>-15485</v>
      </c>
      <c r="J87" s="31">
        <v>12163</v>
      </c>
      <c r="K87" s="184">
        <f t="shared" si="51"/>
        <v>-5913</v>
      </c>
      <c r="L87" s="31">
        <v>15114.82</v>
      </c>
      <c r="M87" s="31">
        <v>29024.46</v>
      </c>
      <c r="N87" s="31">
        <v>22543.45</v>
      </c>
      <c r="O87" s="31">
        <v>37202</v>
      </c>
      <c r="P87" s="31">
        <v>19455</v>
      </c>
      <c r="Q87" s="31">
        <v>18180</v>
      </c>
      <c r="R87" s="31">
        <v>31463</v>
      </c>
      <c r="S87" s="31">
        <v>38870.78</v>
      </c>
      <c r="T87" s="31">
        <v>37837.279999999999</v>
      </c>
      <c r="U87" s="31">
        <v>20505.45</v>
      </c>
      <c r="V87" s="31">
        <v>31713.23</v>
      </c>
      <c r="W87" s="18"/>
      <c r="X87" s="26">
        <f t="shared" si="52"/>
        <v>-15485</v>
      </c>
      <c r="Y87" s="27">
        <f>X87/H87</f>
        <v>-0.71244536461927765</v>
      </c>
      <c r="Z87" s="18"/>
      <c r="AD87" s="21"/>
    </row>
    <row r="88" spans="2:30" ht="12.15" customHeight="1" x14ac:dyDescent="0.25">
      <c r="B88" s="30" t="s">
        <v>76</v>
      </c>
      <c r="D88" s="31">
        <v>212500</v>
      </c>
      <c r="E88" s="31">
        <v>131870.87</v>
      </c>
      <c r="F88" s="148">
        <f t="shared" si="49"/>
        <v>80629.13</v>
      </c>
      <c r="G88" s="31">
        <v>236270.82999999996</v>
      </c>
      <c r="H88" s="31">
        <v>69872</v>
      </c>
      <c r="I88" s="148">
        <f t="shared" si="50"/>
        <v>166398.82999999996</v>
      </c>
      <c r="J88" s="31">
        <v>212722</v>
      </c>
      <c r="K88" s="184">
        <f t="shared" si="51"/>
        <v>23548.829999999958</v>
      </c>
      <c r="L88" s="31">
        <v>198990.16999999998</v>
      </c>
      <c r="M88" s="31">
        <v>291019.78999999998</v>
      </c>
      <c r="N88" s="31">
        <v>218735.72999999998</v>
      </c>
      <c r="O88" s="31">
        <v>234057</v>
      </c>
      <c r="P88" s="31">
        <v>208113</v>
      </c>
      <c r="Q88" s="31">
        <v>246990</v>
      </c>
      <c r="R88" s="31">
        <v>225000</v>
      </c>
      <c r="S88" s="31">
        <v>192726.95</v>
      </c>
      <c r="T88" s="31">
        <v>239792.1</v>
      </c>
      <c r="U88" s="31">
        <v>197713.24</v>
      </c>
      <c r="V88" s="31">
        <v>288040.08</v>
      </c>
      <c r="W88" s="18"/>
      <c r="X88" s="26">
        <f t="shared" si="52"/>
        <v>166398.82999999996</v>
      </c>
      <c r="Y88" s="27">
        <f>X88/H88</f>
        <v>2.3814808506984195</v>
      </c>
      <c r="Z88" s="18"/>
      <c r="AD88" s="21"/>
    </row>
    <row r="89" spans="2:30" ht="12.15" customHeight="1" x14ac:dyDescent="0.25">
      <c r="B89" s="30" t="s">
        <v>77</v>
      </c>
      <c r="D89" s="31">
        <v>51</v>
      </c>
      <c r="E89" s="31">
        <v>0</v>
      </c>
      <c r="F89" s="148">
        <f t="shared" si="49"/>
        <v>51</v>
      </c>
      <c r="G89" s="31"/>
      <c r="H89" s="31">
        <v>0</v>
      </c>
      <c r="I89" s="148">
        <f t="shared" si="50"/>
        <v>0</v>
      </c>
      <c r="J89" s="31">
        <v>0</v>
      </c>
      <c r="K89" s="184">
        <f t="shared" si="51"/>
        <v>0</v>
      </c>
      <c r="L89" s="31">
        <v>0.28999999999999998</v>
      </c>
      <c r="M89" s="31">
        <v>18900</v>
      </c>
      <c r="N89" s="31">
        <v>0</v>
      </c>
      <c r="O89" s="31"/>
      <c r="P89" s="31">
        <f>'[5]FC 2019'!Q116</f>
        <v>0</v>
      </c>
      <c r="Q89" s="31">
        <v>0</v>
      </c>
      <c r="R89" s="31">
        <v>750</v>
      </c>
      <c r="S89" s="31">
        <v>26527.200000000001</v>
      </c>
      <c r="T89" s="31">
        <v>0</v>
      </c>
      <c r="U89" s="31">
        <v>5186.08</v>
      </c>
      <c r="V89" s="31">
        <v>0</v>
      </c>
      <c r="W89" s="18"/>
      <c r="X89" s="26">
        <f t="shared" si="52"/>
        <v>0</v>
      </c>
      <c r="Y89" s="27">
        <f>IF(X89=0,0,X89/H89)</f>
        <v>0</v>
      </c>
      <c r="Z89" s="18"/>
      <c r="AD89" s="21"/>
    </row>
    <row r="90" spans="2:30" ht="12.15" customHeight="1" x14ac:dyDescent="0.25">
      <c r="B90" s="30" t="s">
        <v>78</v>
      </c>
      <c r="D90" s="31">
        <v>850</v>
      </c>
      <c r="E90" s="31">
        <v>85.32</v>
      </c>
      <c r="F90" s="148">
        <f t="shared" si="49"/>
        <v>764.68000000000006</v>
      </c>
      <c r="G90" s="31">
        <v>1740</v>
      </c>
      <c r="H90" s="31">
        <v>229</v>
      </c>
      <c r="I90" s="148">
        <f t="shared" si="50"/>
        <v>1511</v>
      </c>
      <c r="J90" s="31">
        <v>2891</v>
      </c>
      <c r="K90" s="184">
        <f t="shared" si="51"/>
        <v>-1151</v>
      </c>
      <c r="L90" s="31">
        <v>2108.4</v>
      </c>
      <c r="M90" s="31">
        <v>1069.1400000000001</v>
      </c>
      <c r="N90" s="31">
        <v>1381.25</v>
      </c>
      <c r="O90" s="31">
        <v>2433</v>
      </c>
      <c r="P90" s="31">
        <v>1169</v>
      </c>
      <c r="Q90" s="31">
        <v>1656</v>
      </c>
      <c r="R90" s="31">
        <v>2400</v>
      </c>
      <c r="S90" s="31">
        <v>4070.59</v>
      </c>
      <c r="T90" s="31">
        <v>7887.37</v>
      </c>
      <c r="U90" s="31">
        <v>3064.62</v>
      </c>
      <c r="V90" s="31">
        <v>2256.15</v>
      </c>
      <c r="W90" s="18"/>
      <c r="X90" s="26">
        <f t="shared" si="52"/>
        <v>1511</v>
      </c>
      <c r="Y90" s="27">
        <f>X90/H90</f>
        <v>6.5982532751091707</v>
      </c>
      <c r="Z90" s="18"/>
      <c r="AD90" s="21"/>
    </row>
    <row r="91" spans="2:30" ht="12.15" customHeight="1" x14ac:dyDescent="0.25">
      <c r="B91" s="30" t="s">
        <v>79</v>
      </c>
      <c r="D91" s="31">
        <v>8400</v>
      </c>
      <c r="E91" s="31">
        <v>6272.31</v>
      </c>
      <c r="F91" s="148">
        <f t="shared" si="49"/>
        <v>2127.6899999999996</v>
      </c>
      <c r="G91" s="31">
        <v>10500</v>
      </c>
      <c r="H91" s="31">
        <v>4434</v>
      </c>
      <c r="I91" s="148">
        <f t="shared" si="50"/>
        <v>6066</v>
      </c>
      <c r="J91" s="31">
        <v>8074</v>
      </c>
      <c r="K91" s="184">
        <f t="shared" si="51"/>
        <v>2426</v>
      </c>
      <c r="L91" s="31">
        <v>8147.9400000000005</v>
      </c>
      <c r="M91" s="31">
        <v>8267.2200000000012</v>
      </c>
      <c r="N91" s="31">
        <v>7844.71</v>
      </c>
      <c r="O91" s="31">
        <v>7230</v>
      </c>
      <c r="P91" s="31">
        <v>7599</v>
      </c>
      <c r="Q91" s="31">
        <v>16769</v>
      </c>
      <c r="R91" s="31">
        <v>12500</v>
      </c>
      <c r="S91" s="31">
        <v>3824.51</v>
      </c>
      <c r="T91" s="31">
        <v>5617.67</v>
      </c>
      <c r="U91" s="31">
        <v>5992.45</v>
      </c>
      <c r="V91" s="31">
        <v>2769.25</v>
      </c>
      <c r="W91" s="18"/>
      <c r="X91" s="26">
        <f t="shared" si="52"/>
        <v>6066</v>
      </c>
      <c r="Y91" s="27">
        <f>X91/H91</f>
        <v>1.368064952638701</v>
      </c>
      <c r="Z91" s="18"/>
      <c r="AD91" s="21"/>
    </row>
    <row r="92" spans="2:30" ht="12.15" customHeight="1" x14ac:dyDescent="0.25">
      <c r="B92" s="30" t="s">
        <v>80</v>
      </c>
      <c r="D92" s="31">
        <v>8400</v>
      </c>
      <c r="E92" s="31">
        <v>8584.42</v>
      </c>
      <c r="F92" s="148">
        <f t="shared" si="49"/>
        <v>-184.42000000000007</v>
      </c>
      <c r="G92" s="31">
        <v>8004</v>
      </c>
      <c r="H92" s="31">
        <v>3190</v>
      </c>
      <c r="I92" s="148">
        <f t="shared" si="50"/>
        <v>4814</v>
      </c>
      <c r="J92" s="31">
        <v>5189</v>
      </c>
      <c r="K92" s="184">
        <f t="shared" si="51"/>
        <v>2815</v>
      </c>
      <c r="L92" s="31">
        <v>7858.85</v>
      </c>
      <c r="M92" s="31">
        <v>7488.76</v>
      </c>
      <c r="N92" s="31">
        <v>13836.71</v>
      </c>
      <c r="O92" s="31">
        <v>6393</v>
      </c>
      <c r="P92" s="31">
        <v>9944</v>
      </c>
      <c r="Q92" s="31">
        <v>9332</v>
      </c>
      <c r="R92" s="31">
        <v>2852</v>
      </c>
      <c r="S92" s="31">
        <v>2613.35</v>
      </c>
      <c r="T92" s="31">
        <v>0</v>
      </c>
      <c r="U92" s="31">
        <v>0</v>
      </c>
      <c r="V92" s="31">
        <v>2875</v>
      </c>
      <c r="W92" s="18"/>
      <c r="X92" s="26">
        <f t="shared" si="52"/>
        <v>4814</v>
      </c>
      <c r="Y92" s="27">
        <f>X92/H92</f>
        <v>1.509090909090909</v>
      </c>
      <c r="Z92" s="18"/>
      <c r="AD92" s="21"/>
    </row>
    <row r="93" spans="2:30" ht="12.15" customHeight="1" x14ac:dyDescent="0.25">
      <c r="B93" s="30" t="s">
        <v>81</v>
      </c>
      <c r="D93" s="31">
        <v>24000</v>
      </c>
      <c r="E93" s="31">
        <v>34979.080000000009</v>
      </c>
      <c r="F93" s="148">
        <f t="shared" si="49"/>
        <v>-10979.080000000009</v>
      </c>
      <c r="G93" s="31">
        <v>18571.669999999998</v>
      </c>
      <c r="H93" s="31">
        <v>5206</v>
      </c>
      <c r="I93" s="148">
        <f t="shared" si="50"/>
        <v>13365.669999999998</v>
      </c>
      <c r="J93" s="31">
        <v>16308</v>
      </c>
      <c r="K93" s="184">
        <f t="shared" si="51"/>
        <v>2263.6699999999983</v>
      </c>
      <c r="L93" s="31">
        <v>11298.619999999999</v>
      </c>
      <c r="M93" s="31">
        <v>18975.27</v>
      </c>
      <c r="N93" s="31">
        <v>23147.17</v>
      </c>
      <c r="O93" s="31">
        <v>15507</v>
      </c>
      <c r="P93" s="31">
        <v>25059</v>
      </c>
      <c r="Q93" s="31">
        <v>20055</v>
      </c>
      <c r="R93" s="31">
        <v>26991</v>
      </c>
      <c r="S93" s="31">
        <v>17807.689999999999</v>
      </c>
      <c r="T93" s="31">
        <v>19138.04</v>
      </c>
      <c r="U93" s="31">
        <v>17312.37</v>
      </c>
      <c r="V93" s="31">
        <v>22452.92</v>
      </c>
      <c r="W93" s="18"/>
      <c r="X93" s="26">
        <f t="shared" si="52"/>
        <v>13365.669999999998</v>
      </c>
      <c r="Y93" s="27">
        <f>X93/H93</f>
        <v>2.5673588167499037</v>
      </c>
      <c r="Z93" s="18"/>
      <c r="AD93" s="21"/>
    </row>
    <row r="94" spans="2:30" ht="12.15" customHeight="1" x14ac:dyDescent="0.25">
      <c r="B94" s="30" t="s">
        <v>82</v>
      </c>
      <c r="D94" s="31">
        <v>6000</v>
      </c>
      <c r="E94" s="31">
        <v>2427.56</v>
      </c>
      <c r="F94" s="148">
        <f t="shared" si="49"/>
        <v>3572.44</v>
      </c>
      <c r="G94" s="31">
        <v>1800</v>
      </c>
      <c r="H94" s="31">
        <v>151</v>
      </c>
      <c r="I94" s="148">
        <f t="shared" si="50"/>
        <v>1649</v>
      </c>
      <c r="J94" s="31">
        <v>5672</v>
      </c>
      <c r="K94" s="184">
        <f t="shared" si="51"/>
        <v>-3872</v>
      </c>
      <c r="L94" s="31">
        <v>3620.11</v>
      </c>
      <c r="M94" s="31">
        <v>9476.11</v>
      </c>
      <c r="N94" s="31">
        <v>11212.73</v>
      </c>
      <c r="O94" s="31">
        <v>7732</v>
      </c>
      <c r="P94" s="31">
        <v>478</v>
      </c>
      <c r="Q94" s="31">
        <v>347</v>
      </c>
      <c r="R94" s="31">
        <v>6046</v>
      </c>
      <c r="S94" s="31">
        <v>3088.76</v>
      </c>
      <c r="T94" s="31">
        <v>6567.95</v>
      </c>
      <c r="U94" s="31">
        <v>2325.79</v>
      </c>
      <c r="V94" s="31">
        <v>3079.54</v>
      </c>
      <c r="W94" s="18"/>
      <c r="X94" s="26">
        <f t="shared" si="52"/>
        <v>1649</v>
      </c>
      <c r="Y94" s="27">
        <f>X94/H94</f>
        <v>10.920529801324504</v>
      </c>
      <c r="Z94" s="18"/>
      <c r="AD94" s="21"/>
    </row>
    <row r="95" spans="2:30" ht="12.15" customHeight="1" x14ac:dyDescent="0.25">
      <c r="B95" s="30" t="s">
        <v>83</v>
      </c>
      <c r="D95" s="31">
        <v>5500</v>
      </c>
      <c r="E95" s="31">
        <v>5416.24</v>
      </c>
      <c r="F95" s="148">
        <f t="shared" si="49"/>
        <v>83.760000000000218</v>
      </c>
      <c r="G95" s="31">
        <v>0</v>
      </c>
      <c r="H95" s="31">
        <v>226</v>
      </c>
      <c r="I95" s="148">
        <f t="shared" si="50"/>
        <v>-226</v>
      </c>
      <c r="J95" s="31">
        <v>0</v>
      </c>
      <c r="K95" s="184">
        <f t="shared" si="51"/>
        <v>0</v>
      </c>
      <c r="L95" s="31">
        <v>0</v>
      </c>
      <c r="M95" s="31">
        <v>0.27000000000407454</v>
      </c>
      <c r="N95" s="31">
        <v>0</v>
      </c>
      <c r="O95" s="31"/>
      <c r="P95" s="31">
        <v>0</v>
      </c>
      <c r="Q95" s="31">
        <v>0</v>
      </c>
      <c r="R95" s="31"/>
      <c r="S95" s="31"/>
      <c r="T95" s="31"/>
      <c r="U95" s="32"/>
      <c r="V95" s="32"/>
      <c r="W95" s="18"/>
      <c r="X95" s="26">
        <f t="shared" si="52"/>
        <v>-226</v>
      </c>
      <c r="Y95" s="27">
        <f>IF(H95=0,0,X95/H95)</f>
        <v>-1</v>
      </c>
      <c r="Z95" s="18"/>
      <c r="AD95" s="21"/>
    </row>
    <row r="96" spans="2:30" ht="12.15" customHeight="1" x14ac:dyDescent="0.25">
      <c r="B96" s="30" t="s">
        <v>84</v>
      </c>
      <c r="D96" s="31">
        <v>36000</v>
      </c>
      <c r="E96" s="31">
        <v>7665</v>
      </c>
      <c r="F96" s="148">
        <f t="shared" si="49"/>
        <v>28335</v>
      </c>
      <c r="G96" s="31">
        <v>11250</v>
      </c>
      <c r="H96" s="31">
        <v>3700</v>
      </c>
      <c r="I96" s="148">
        <f t="shared" si="50"/>
        <v>7550</v>
      </c>
      <c r="J96" s="31">
        <v>39600</v>
      </c>
      <c r="K96" s="184">
        <f t="shared" si="51"/>
        <v>-28350</v>
      </c>
      <c r="L96" s="31">
        <v>40116</v>
      </c>
      <c r="M96" s="31">
        <v>51938</v>
      </c>
      <c r="N96" s="31">
        <v>46094.400000000001</v>
      </c>
      <c r="O96" s="31">
        <v>48845</v>
      </c>
      <c r="P96" s="31">
        <v>41447</v>
      </c>
      <c r="Q96" s="31">
        <v>38477</v>
      </c>
      <c r="R96" s="31">
        <v>38400</v>
      </c>
      <c r="S96" s="31">
        <v>99335.44</v>
      </c>
      <c r="T96" s="31">
        <v>62796.62</v>
      </c>
      <c r="U96" s="31">
        <v>48040.2</v>
      </c>
      <c r="V96" s="31">
        <v>48076.3</v>
      </c>
      <c r="W96" s="18"/>
      <c r="X96" s="26">
        <f t="shared" si="52"/>
        <v>7550</v>
      </c>
      <c r="Y96" s="27">
        <f t="shared" ref="Y96:Y103" si="53">X96/H96</f>
        <v>2.0405405405405403</v>
      </c>
      <c r="Z96" s="18"/>
      <c r="AD96" s="21"/>
    </row>
    <row r="97" spans="2:30" ht="12.15" customHeight="1" x14ac:dyDescent="0.25">
      <c r="B97" s="30" t="s">
        <v>85</v>
      </c>
      <c r="D97" s="31">
        <v>26280</v>
      </c>
      <c r="E97" s="31">
        <v>17462</v>
      </c>
      <c r="F97" s="148">
        <f t="shared" si="49"/>
        <v>8818</v>
      </c>
      <c r="G97" s="31">
        <v>25590</v>
      </c>
      <c r="H97" s="31">
        <v>13625</v>
      </c>
      <c r="I97" s="148">
        <f t="shared" si="50"/>
        <v>11965</v>
      </c>
      <c r="J97" s="31">
        <v>26040</v>
      </c>
      <c r="K97" s="184">
        <f t="shared" si="51"/>
        <v>-450</v>
      </c>
      <c r="L97" s="31">
        <v>26271.95</v>
      </c>
      <c r="M97" s="31">
        <v>25810</v>
      </c>
      <c r="N97" s="31">
        <v>25680</v>
      </c>
      <c r="O97" s="31">
        <v>25810</v>
      </c>
      <c r="P97" s="31">
        <v>26760</v>
      </c>
      <c r="Q97" s="31">
        <v>27435</v>
      </c>
      <c r="R97" s="31">
        <v>28840</v>
      </c>
      <c r="S97" s="31">
        <v>26137.5</v>
      </c>
      <c r="T97" s="31">
        <v>28542.03</v>
      </c>
      <c r="U97" s="31">
        <v>28209.45</v>
      </c>
      <c r="V97" s="31">
        <v>22802.75</v>
      </c>
      <c r="W97" s="18"/>
      <c r="X97" s="26">
        <f t="shared" si="52"/>
        <v>11965</v>
      </c>
      <c r="Y97" s="27">
        <f t="shared" si="53"/>
        <v>0.87816513761467885</v>
      </c>
      <c r="Z97" s="18"/>
      <c r="AD97" s="21"/>
    </row>
    <row r="98" spans="2:30" ht="12.15" customHeight="1" x14ac:dyDescent="0.25">
      <c r="B98" s="30" t="s">
        <v>61</v>
      </c>
      <c r="D98" s="31">
        <v>1440</v>
      </c>
      <c r="E98" s="31">
        <v>790.07000000000016</v>
      </c>
      <c r="F98" s="148">
        <f t="shared" si="49"/>
        <v>649.92999999999984</v>
      </c>
      <c r="G98" s="31">
        <v>1270</v>
      </c>
      <c r="H98" s="31">
        <v>384</v>
      </c>
      <c r="I98" s="148">
        <f t="shared" si="50"/>
        <v>886</v>
      </c>
      <c r="J98" s="31">
        <v>1290</v>
      </c>
      <c r="K98" s="184">
        <f t="shared" si="51"/>
        <v>-20</v>
      </c>
      <c r="L98" s="31">
        <v>1119.1199999999999</v>
      </c>
      <c r="M98" s="31">
        <v>1607.89</v>
      </c>
      <c r="N98" s="31">
        <v>1302.2299999999998</v>
      </c>
      <c r="O98" s="31">
        <v>612</v>
      </c>
      <c r="P98" s="31">
        <v>1807</v>
      </c>
      <c r="Q98" s="31">
        <v>468</v>
      </c>
      <c r="R98" s="31">
        <v>393</v>
      </c>
      <c r="S98" s="31">
        <v>816.01</v>
      </c>
      <c r="T98" s="31">
        <v>1926.75</v>
      </c>
      <c r="U98" s="31">
        <v>1991.21</v>
      </c>
      <c r="V98" s="31">
        <v>2134.63</v>
      </c>
      <c r="W98" s="18"/>
      <c r="X98" s="26">
        <f t="shared" si="52"/>
        <v>886</v>
      </c>
      <c r="Y98" s="27">
        <f t="shared" si="53"/>
        <v>2.3072916666666665</v>
      </c>
      <c r="Z98" s="18"/>
      <c r="AD98" s="21"/>
    </row>
    <row r="99" spans="2:30" ht="12.15" customHeight="1" x14ac:dyDescent="0.25">
      <c r="B99" s="30" t="s">
        <v>86</v>
      </c>
      <c r="D99" s="31">
        <v>9500</v>
      </c>
      <c r="E99" s="31">
        <v>5553.0499999999993</v>
      </c>
      <c r="F99" s="148">
        <f t="shared" si="49"/>
        <v>3946.9500000000007</v>
      </c>
      <c r="G99" s="31">
        <v>15304.169999999998</v>
      </c>
      <c r="H99" s="31">
        <v>4788</v>
      </c>
      <c r="I99" s="148">
        <f t="shared" si="50"/>
        <v>10516.169999999998</v>
      </c>
      <c r="J99" s="31">
        <v>17318</v>
      </c>
      <c r="K99" s="184">
        <f t="shared" si="51"/>
        <v>-2013.8300000000017</v>
      </c>
      <c r="L99" s="31">
        <v>14516.91</v>
      </c>
      <c r="M99" s="31">
        <v>15159.41</v>
      </c>
      <c r="N99" s="31">
        <v>26433.570000000003</v>
      </c>
      <c r="O99" s="31">
        <v>16227</v>
      </c>
      <c r="P99" s="31">
        <v>15028</v>
      </c>
      <c r="Q99" s="31">
        <v>16545</v>
      </c>
      <c r="R99" s="31">
        <v>13230</v>
      </c>
      <c r="S99" s="31">
        <v>14023.18</v>
      </c>
      <c r="T99" s="31">
        <v>17828.560000000001</v>
      </c>
      <c r="U99" s="31">
        <v>8450.73</v>
      </c>
      <c r="V99" s="31">
        <v>21489.14</v>
      </c>
      <c r="W99" s="18"/>
      <c r="X99" s="26">
        <f t="shared" si="52"/>
        <v>10516.169999999998</v>
      </c>
      <c r="Y99" s="27">
        <f t="shared" si="53"/>
        <v>2.1963596491228068</v>
      </c>
      <c r="Z99" s="18"/>
      <c r="AD99" s="21"/>
    </row>
    <row r="100" spans="2:30" ht="12.15" customHeight="1" x14ac:dyDescent="0.25">
      <c r="B100" s="30" t="s">
        <v>87</v>
      </c>
      <c r="D100" s="31">
        <v>60000</v>
      </c>
      <c r="E100" s="31">
        <v>33101.449999999997</v>
      </c>
      <c r="F100" s="148">
        <f t="shared" si="49"/>
        <v>26898.550000000003</v>
      </c>
      <c r="G100" s="31">
        <v>56200</v>
      </c>
      <c r="H100" s="31">
        <v>25404</v>
      </c>
      <c r="I100" s="148">
        <f t="shared" si="50"/>
        <v>30796</v>
      </c>
      <c r="J100" s="31">
        <v>54478</v>
      </c>
      <c r="K100" s="184">
        <f t="shared" si="51"/>
        <v>1722</v>
      </c>
      <c r="L100" s="31">
        <v>65976.510000000009</v>
      </c>
      <c r="M100" s="31">
        <v>60077.369999999995</v>
      </c>
      <c r="N100" s="31">
        <v>57698.830000000009</v>
      </c>
      <c r="O100" s="31">
        <v>65953</v>
      </c>
      <c r="P100" s="31">
        <v>64108</v>
      </c>
      <c r="Q100" s="31">
        <v>56568</v>
      </c>
      <c r="R100" s="31">
        <v>52550</v>
      </c>
      <c r="S100" s="31">
        <v>45112.85</v>
      </c>
      <c r="T100" s="31">
        <v>29506.7</v>
      </c>
      <c r="U100" s="31">
        <v>68755.87</v>
      </c>
      <c r="V100" s="31">
        <v>39611.35</v>
      </c>
      <c r="W100" s="18"/>
      <c r="X100" s="26">
        <f t="shared" si="52"/>
        <v>30796</v>
      </c>
      <c r="Y100" s="27">
        <f t="shared" si="53"/>
        <v>1.2122500393638798</v>
      </c>
      <c r="Z100" s="18"/>
      <c r="AD100" s="21"/>
    </row>
    <row r="101" spans="2:30" ht="12.15" customHeight="1" x14ac:dyDescent="0.25">
      <c r="B101" s="30" t="s">
        <v>64</v>
      </c>
      <c r="D101" s="31">
        <v>4500</v>
      </c>
      <c r="E101" s="31">
        <v>4627.53</v>
      </c>
      <c r="F101" s="148">
        <f t="shared" si="49"/>
        <v>-127.52999999999975</v>
      </c>
      <c r="G101" s="31">
        <v>2350</v>
      </c>
      <c r="H101" s="31">
        <v>7420</v>
      </c>
      <c r="I101" s="148">
        <f t="shared" si="50"/>
        <v>-5070</v>
      </c>
      <c r="J101" s="31">
        <v>2585</v>
      </c>
      <c r="K101" s="184">
        <f t="shared" si="51"/>
        <v>-235</v>
      </c>
      <c r="L101" s="31">
        <v>4880</v>
      </c>
      <c r="M101" s="31">
        <v>8260</v>
      </c>
      <c r="N101" s="31">
        <v>8180</v>
      </c>
      <c r="O101" s="31">
        <v>9890</v>
      </c>
      <c r="P101" s="31">
        <v>8296</v>
      </c>
      <c r="Q101" s="31">
        <v>12542</v>
      </c>
      <c r="R101" s="31">
        <v>39085</v>
      </c>
      <c r="S101" s="31">
        <v>35407.379999999997</v>
      </c>
      <c r="T101" s="31">
        <v>13455.29</v>
      </c>
      <c r="U101" s="31">
        <v>10306.43</v>
      </c>
      <c r="V101" s="31">
        <v>17643.86</v>
      </c>
      <c r="W101" s="18"/>
      <c r="X101" s="26">
        <f t="shared" si="52"/>
        <v>-5070</v>
      </c>
      <c r="Y101" s="27">
        <f t="shared" si="53"/>
        <v>-0.68328840970350402</v>
      </c>
      <c r="Z101" s="18"/>
      <c r="AD101" s="21"/>
    </row>
    <row r="102" spans="2:30" ht="12.15" customHeight="1" x14ac:dyDescent="0.25">
      <c r="B102" s="33" t="s">
        <v>88</v>
      </c>
      <c r="D102" s="34">
        <v>191000.01999999996</v>
      </c>
      <c r="E102" s="34">
        <v>150312.97</v>
      </c>
      <c r="F102" s="150">
        <f t="shared" si="49"/>
        <v>40687.049999999959</v>
      </c>
      <c r="G102" s="34">
        <v>175166.66999999998</v>
      </c>
      <c r="H102" s="34">
        <v>119993</v>
      </c>
      <c r="I102" s="150">
        <f t="shared" si="50"/>
        <v>55173.669999999984</v>
      </c>
      <c r="J102" s="34">
        <v>164613</v>
      </c>
      <c r="K102" s="184">
        <f t="shared" si="51"/>
        <v>10553.669999999984</v>
      </c>
      <c r="L102" s="34">
        <v>159481.22</v>
      </c>
      <c r="M102" s="34">
        <v>102343.38</v>
      </c>
      <c r="N102" s="34">
        <v>103465.54</v>
      </c>
      <c r="O102" s="34">
        <v>107913</v>
      </c>
      <c r="P102" s="34">
        <v>116446</v>
      </c>
      <c r="Q102" s="34">
        <v>111929</v>
      </c>
      <c r="R102" s="34">
        <v>145865</v>
      </c>
      <c r="S102" s="34">
        <v>116906.57</v>
      </c>
      <c r="T102" s="34">
        <v>95505.09</v>
      </c>
      <c r="U102" s="34">
        <v>112408.33</v>
      </c>
      <c r="V102" s="34">
        <v>133969.76</v>
      </c>
      <c r="W102" s="18"/>
      <c r="X102" s="26">
        <f t="shared" si="52"/>
        <v>55173.669999999984</v>
      </c>
      <c r="Y102" s="27">
        <f t="shared" si="53"/>
        <v>0.4598074054319834</v>
      </c>
      <c r="Z102" s="18"/>
      <c r="AD102" s="21"/>
    </row>
    <row r="103" spans="2:30" ht="12.15" customHeight="1" x14ac:dyDescent="0.25">
      <c r="B103" s="71" t="s">
        <v>67</v>
      </c>
      <c r="C103" s="4"/>
      <c r="D103" s="92">
        <f>SUM(D86:D102)</f>
        <v>614821.02</v>
      </c>
      <c r="E103" s="92">
        <f>SUM(E86:E102)</f>
        <v>424642.66000000003</v>
      </c>
      <c r="F103" s="159">
        <f t="shared" si="49"/>
        <v>190178.36</v>
      </c>
      <c r="G103" s="92">
        <f>SUM(G86:G102)</f>
        <v>583067.33999999985</v>
      </c>
      <c r="H103" s="92">
        <f>SUM(H86:H102)</f>
        <v>283410</v>
      </c>
      <c r="I103" s="159">
        <f t="shared" si="50"/>
        <v>299657.33999999985</v>
      </c>
      <c r="J103" s="92">
        <f>SUM(J86:J102)</f>
        <v>578359</v>
      </c>
      <c r="K103" s="183">
        <f t="shared" si="51"/>
        <v>4708.339999999851</v>
      </c>
      <c r="L103" s="92">
        <v>566893.31999999995</v>
      </c>
      <c r="M103" s="92">
        <v>653882.21000000008</v>
      </c>
      <c r="N103" s="92">
        <f>SUM(N86:N102)</f>
        <v>575886.26</v>
      </c>
      <c r="O103" s="92">
        <f>SUM(O86:O102)</f>
        <v>600826</v>
      </c>
      <c r="P103" s="92">
        <f t="shared" ref="P103:V103" si="54">SUM(P86:P102)</f>
        <v>565412</v>
      </c>
      <c r="Q103" s="92">
        <f t="shared" si="54"/>
        <v>593165</v>
      </c>
      <c r="R103" s="92">
        <f t="shared" si="54"/>
        <v>640891</v>
      </c>
      <c r="S103" s="45">
        <f t="shared" si="54"/>
        <v>637325.54</v>
      </c>
      <c r="T103" s="89">
        <f t="shared" si="54"/>
        <v>573148.06999999995</v>
      </c>
      <c r="U103" s="73">
        <f t="shared" si="54"/>
        <v>539504.01</v>
      </c>
      <c r="V103" s="73">
        <f t="shared" si="54"/>
        <v>643761.32999999996</v>
      </c>
      <c r="W103" s="93"/>
      <c r="X103" s="72">
        <f t="shared" si="52"/>
        <v>299657.33999999985</v>
      </c>
      <c r="Y103" s="74">
        <f t="shared" si="53"/>
        <v>1.0573280406478243</v>
      </c>
      <c r="Z103" s="93"/>
      <c r="AD103" s="29"/>
    </row>
    <row r="104" spans="2:30" ht="5.0999999999999996" customHeight="1" x14ac:dyDescent="0.25">
      <c r="B104" s="48"/>
      <c r="C104" s="49"/>
      <c r="D104" s="76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7"/>
      <c r="X104" s="76"/>
      <c r="Y104" s="76"/>
      <c r="Z104" s="77"/>
      <c r="AD104" s="59"/>
    </row>
    <row r="105" spans="2:30" x14ac:dyDescent="0.25">
      <c r="B105" s="64" t="s">
        <v>68</v>
      </c>
      <c r="C105" s="4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10"/>
      <c r="X105" s="9"/>
      <c r="Y105" s="9"/>
      <c r="Z105" s="10"/>
      <c r="AD105" s="59"/>
    </row>
    <row r="106" spans="2:30" ht="12.15" customHeight="1" x14ac:dyDescent="0.25">
      <c r="B106" s="104" t="s">
        <v>69</v>
      </c>
      <c r="C106" s="61"/>
      <c r="D106" s="97">
        <f>D83+D103</f>
        <v>1170801.28</v>
      </c>
      <c r="E106" s="97">
        <f>E83+E103</f>
        <v>917709.14999999991</v>
      </c>
      <c r="F106" s="159">
        <f t="shared" ref="F106" si="55">D106-E106</f>
        <v>253092.13000000012</v>
      </c>
      <c r="G106" s="97">
        <f>G83+G103</f>
        <v>1099121.3399999999</v>
      </c>
      <c r="H106" s="97">
        <f>H83+H103</f>
        <v>644808</v>
      </c>
      <c r="I106" s="159">
        <f t="shared" ref="I106" si="56">G106-H106</f>
        <v>454313.33999999985</v>
      </c>
      <c r="J106" s="97">
        <f>J83+J103</f>
        <v>1099990</v>
      </c>
      <c r="K106" s="183">
        <f t="shared" ref="K106" si="57">+G106-J106</f>
        <v>-868.66000000014901</v>
      </c>
      <c r="L106" s="97">
        <v>1058935.5349999999</v>
      </c>
      <c r="M106" s="97">
        <v>1145905.8500000001</v>
      </c>
      <c r="N106" s="97">
        <f>N83+N103</f>
        <v>1116228.8</v>
      </c>
      <c r="O106" s="97">
        <f t="shared" ref="O106:V106" si="58">O83+O103</f>
        <v>1173498</v>
      </c>
      <c r="P106" s="97">
        <f t="shared" si="58"/>
        <v>1174476</v>
      </c>
      <c r="Q106" s="97">
        <f t="shared" si="58"/>
        <v>1183518</v>
      </c>
      <c r="R106" s="97">
        <f t="shared" si="58"/>
        <v>1247781</v>
      </c>
      <c r="S106" s="45">
        <f t="shared" si="58"/>
        <v>1301540.4800000002</v>
      </c>
      <c r="T106" s="99">
        <f t="shared" si="58"/>
        <v>1227861.96</v>
      </c>
      <c r="U106" s="99">
        <f t="shared" si="58"/>
        <v>1200332.8900000001</v>
      </c>
      <c r="V106" s="99">
        <f t="shared" si="58"/>
        <v>1284277.8799999999</v>
      </c>
      <c r="W106" s="105"/>
      <c r="X106" s="72">
        <f>G106-H106</f>
        <v>454313.33999999985</v>
      </c>
      <c r="Y106" s="74">
        <f>X106/H106</f>
        <v>0.70457150035359339</v>
      </c>
      <c r="Z106" s="105"/>
      <c r="AD106" s="29"/>
    </row>
    <row r="107" spans="2:30" x14ac:dyDescent="0.25">
      <c r="B107" s="48"/>
      <c r="C107" s="49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7"/>
      <c r="X107" s="76"/>
      <c r="Y107" s="76"/>
      <c r="Z107" s="77"/>
      <c r="AD107" s="59"/>
    </row>
    <row r="108" spans="2:30" x14ac:dyDescent="0.25">
      <c r="B108" s="60" t="s">
        <v>89</v>
      </c>
      <c r="C108" s="61"/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  <c r="P108" s="101"/>
      <c r="Q108" s="101"/>
      <c r="R108" s="101"/>
      <c r="S108" s="102"/>
      <c r="T108" s="101"/>
      <c r="U108" s="101"/>
      <c r="V108" s="101"/>
      <c r="W108" s="101"/>
      <c r="X108" s="101"/>
      <c r="Y108" s="101"/>
      <c r="Z108" s="10"/>
      <c r="AD108" s="59"/>
    </row>
    <row r="109" spans="2:30" ht="5.0999999999999996" customHeight="1" x14ac:dyDescent="0.25">
      <c r="B109" s="48"/>
      <c r="C109" s="49"/>
      <c r="D109" s="103"/>
      <c r="E109" s="103"/>
      <c r="F109" s="103"/>
      <c r="G109" s="103"/>
      <c r="H109" s="103"/>
      <c r="I109" s="103"/>
      <c r="J109" s="103"/>
      <c r="K109" s="103"/>
      <c r="L109" s="103"/>
      <c r="M109" s="103"/>
      <c r="N109" s="103"/>
      <c r="O109" s="103"/>
      <c r="P109" s="103"/>
      <c r="Q109" s="103"/>
      <c r="R109" s="103"/>
      <c r="S109" s="103"/>
      <c r="T109" s="103"/>
      <c r="U109" s="103"/>
      <c r="V109" s="103"/>
      <c r="W109" s="77"/>
      <c r="X109" s="103"/>
      <c r="Y109" s="103"/>
      <c r="Z109" s="77"/>
      <c r="AA109" s="1"/>
      <c r="AB109" s="1"/>
      <c r="AC109" s="1"/>
      <c r="AD109" s="59"/>
    </row>
    <row r="110" spans="2:30" x14ac:dyDescent="0.25">
      <c r="B110" s="64" t="s">
        <v>48</v>
      </c>
      <c r="C110" s="4"/>
      <c r="D110" s="14" t="str">
        <f>D3</f>
        <v>BUDGET 2022</v>
      </c>
      <c r="E110" s="14" t="str">
        <f>E3</f>
        <v>ACT 2021</v>
      </c>
      <c r="F110" s="147" t="s">
        <v>111</v>
      </c>
      <c r="G110" s="14" t="str">
        <f>G3</f>
        <v>BUDGET 2021</v>
      </c>
      <c r="H110" s="14" t="str">
        <f>H3</f>
        <v>ACTUAL 2020</v>
      </c>
      <c r="I110" s="147" t="s">
        <v>111</v>
      </c>
      <c r="J110" s="14" t="str">
        <f>J3</f>
        <v>ACTUAL 2019</v>
      </c>
      <c r="K110" s="185" t="str">
        <f>+K73</f>
        <v>B 2021 vs A2019</v>
      </c>
      <c r="L110" s="14" t="s">
        <v>3</v>
      </c>
      <c r="M110" s="14" t="s">
        <v>4</v>
      </c>
      <c r="N110" s="14" t="str">
        <f>N73</f>
        <v>ACTUAL 2016</v>
      </c>
      <c r="O110" s="14" t="str">
        <f>O3</f>
        <v>ACTUAL 2015</v>
      </c>
      <c r="P110" s="14" t="str">
        <f t="shared" ref="P110:V110" si="59">P73</f>
        <v>ACTUAL 2014</v>
      </c>
      <c r="Q110" s="14" t="str">
        <f t="shared" si="59"/>
        <v>ACTUAL 2013</v>
      </c>
      <c r="R110" s="14" t="str">
        <f t="shared" si="59"/>
        <v>ACTUAL 2012</v>
      </c>
      <c r="S110" s="14" t="str">
        <f t="shared" si="59"/>
        <v>ACTUAL 2011</v>
      </c>
      <c r="T110" s="14" t="str">
        <f t="shared" si="59"/>
        <v>ACTUAL 2010</v>
      </c>
      <c r="U110" s="14" t="str">
        <f t="shared" si="59"/>
        <v>ACTUAL 2009</v>
      </c>
      <c r="V110" s="14" t="str">
        <f t="shared" si="59"/>
        <v>ACTUAL 2008</v>
      </c>
      <c r="W110" s="10"/>
      <c r="X110" s="789" t="str">
        <f>X73</f>
        <v>Var Bud-21 Actual-20</v>
      </c>
      <c r="Y110" s="790"/>
      <c r="Z110" s="10"/>
      <c r="AD110" s="59"/>
    </row>
    <row r="111" spans="2:30" ht="12.15" customHeight="1" x14ac:dyDescent="0.25">
      <c r="B111" s="79" t="s">
        <v>19</v>
      </c>
      <c r="D111" s="80">
        <v>200500</v>
      </c>
      <c r="E111" s="80">
        <v>186520</v>
      </c>
      <c r="F111" s="148">
        <f t="shared" ref="F111:F119" si="60">D111-E111</f>
        <v>13980</v>
      </c>
      <c r="G111" s="80">
        <v>177000</v>
      </c>
      <c r="H111" s="80">
        <v>104799</v>
      </c>
      <c r="I111" s="148">
        <f t="shared" ref="I111:I119" si="61">G111-H111</f>
        <v>72201</v>
      </c>
      <c r="J111" s="80">
        <v>188108</v>
      </c>
      <c r="K111" s="186">
        <f t="shared" ref="K111:K117" si="62">+G111-J111</f>
        <v>-11108</v>
      </c>
      <c r="L111" s="80">
        <v>162483</v>
      </c>
      <c r="M111" s="80">
        <v>143321.07999999999</v>
      </c>
      <c r="N111" s="80">
        <v>149687.25999999998</v>
      </c>
      <c r="O111" s="80">
        <v>159140</v>
      </c>
      <c r="P111" s="68">
        <v>180114</v>
      </c>
      <c r="Q111" s="80">
        <v>154152</v>
      </c>
      <c r="R111" s="81">
        <v>142020</v>
      </c>
      <c r="S111" s="82">
        <v>147960.07999999999</v>
      </c>
      <c r="T111" s="82">
        <v>144955.07</v>
      </c>
      <c r="U111" s="68">
        <v>130210.39</v>
      </c>
      <c r="V111" s="81">
        <v>149225.32</v>
      </c>
      <c r="W111" s="18"/>
      <c r="X111" s="26">
        <f t="shared" ref="X111:X117" si="63">G111-H111</f>
        <v>72201</v>
      </c>
      <c r="Y111" s="27">
        <f>X111/H111</f>
        <v>0.68894741362035894</v>
      </c>
      <c r="Z111" s="18"/>
      <c r="AD111" s="21"/>
    </row>
    <row r="112" spans="2:30" ht="12.15" customHeight="1" x14ac:dyDescent="0.25">
      <c r="B112" s="30" t="s">
        <v>50</v>
      </c>
      <c r="D112" s="85">
        <v>15874.5</v>
      </c>
      <c r="E112" s="85">
        <v>14926</v>
      </c>
      <c r="F112" s="148">
        <f t="shared" si="60"/>
        <v>948.5</v>
      </c>
      <c r="G112" s="85">
        <v>15874.5</v>
      </c>
      <c r="H112" s="85">
        <v>10846</v>
      </c>
      <c r="I112" s="148">
        <f t="shared" si="61"/>
        <v>5028.5</v>
      </c>
      <c r="J112" s="85">
        <v>15786</v>
      </c>
      <c r="K112" s="184">
        <f t="shared" si="62"/>
        <v>88.5</v>
      </c>
      <c r="L112" s="85">
        <v>12102.710000000001</v>
      </c>
      <c r="M112" s="85">
        <v>11127.87</v>
      </c>
      <c r="N112" s="85">
        <v>17326.34</v>
      </c>
      <c r="O112" s="85">
        <v>18228</v>
      </c>
      <c r="P112" s="86">
        <v>16966</v>
      </c>
      <c r="Q112" s="85">
        <v>20276</v>
      </c>
      <c r="R112" s="31">
        <v>18896</v>
      </c>
      <c r="S112" s="26">
        <v>17468.599999999999</v>
      </c>
      <c r="T112" s="26">
        <v>11936.050000000003</v>
      </c>
      <c r="U112" s="86">
        <v>10724.279999999999</v>
      </c>
      <c r="V112" s="31">
        <v>10866.69</v>
      </c>
      <c r="W112" s="18"/>
      <c r="X112" s="26">
        <f t="shared" si="63"/>
        <v>5028.5</v>
      </c>
      <c r="Y112" s="27">
        <f>X112/H112</f>
        <v>0.46362714364742763</v>
      </c>
      <c r="Z112" s="18"/>
      <c r="AD112" s="21"/>
    </row>
    <row r="113" spans="2:30" ht="12.15" customHeight="1" x14ac:dyDescent="0.25">
      <c r="B113" s="30" t="s">
        <v>73</v>
      </c>
      <c r="D113" s="85">
        <v>13560</v>
      </c>
      <c r="E113" s="85">
        <v>11964</v>
      </c>
      <c r="F113" s="148">
        <f t="shared" si="60"/>
        <v>1596</v>
      </c>
      <c r="G113" s="85">
        <v>13390</v>
      </c>
      <c r="H113" s="85">
        <v>8513</v>
      </c>
      <c r="I113" s="148">
        <f t="shared" si="61"/>
        <v>4877</v>
      </c>
      <c r="J113" s="85">
        <v>11197</v>
      </c>
      <c r="K113" s="184">
        <f t="shared" si="62"/>
        <v>2193</v>
      </c>
      <c r="L113" s="85">
        <v>12385.11</v>
      </c>
      <c r="M113" s="85">
        <v>11449.1</v>
      </c>
      <c r="N113" s="85">
        <v>10909.88</v>
      </c>
      <c r="O113" s="85">
        <v>10045</v>
      </c>
      <c r="P113" s="86">
        <v>11379</v>
      </c>
      <c r="Q113" s="85">
        <v>10001</v>
      </c>
      <c r="R113" s="31">
        <v>11551</v>
      </c>
      <c r="S113" s="26">
        <v>11162.13</v>
      </c>
      <c r="T113" s="26">
        <v>10315.780000000001</v>
      </c>
      <c r="U113" s="86">
        <v>8125.03</v>
      </c>
      <c r="V113" s="31">
        <v>13305.71</v>
      </c>
      <c r="W113" s="18"/>
      <c r="X113" s="26">
        <f t="shared" si="63"/>
        <v>4877</v>
      </c>
      <c r="Y113" s="27">
        <f>X113/H113</f>
        <v>0.57288852343474683</v>
      </c>
      <c r="Z113" s="18"/>
      <c r="AD113" s="21"/>
    </row>
    <row r="114" spans="2:30" ht="12.15" hidden="1" customHeight="1" x14ac:dyDescent="0.25">
      <c r="B114" s="30" t="s">
        <v>52</v>
      </c>
      <c r="D114" s="85"/>
      <c r="E114" s="85"/>
      <c r="F114" s="148">
        <f t="shared" si="60"/>
        <v>0</v>
      </c>
      <c r="G114" s="85"/>
      <c r="H114" s="85"/>
      <c r="I114" s="148">
        <f t="shared" si="61"/>
        <v>0</v>
      </c>
      <c r="J114" s="85"/>
      <c r="K114" s="184">
        <f t="shared" si="62"/>
        <v>0</v>
      </c>
      <c r="L114" s="85"/>
      <c r="M114" s="85"/>
      <c r="N114" s="85"/>
      <c r="O114" s="85"/>
      <c r="P114" s="86"/>
      <c r="Q114" s="85"/>
      <c r="R114" s="31"/>
      <c r="S114" s="26"/>
      <c r="T114" s="26"/>
      <c r="U114" s="86"/>
      <c r="V114" s="31"/>
      <c r="W114" s="18"/>
      <c r="X114" s="26">
        <f t="shared" si="63"/>
        <v>0</v>
      </c>
      <c r="Y114" s="27"/>
      <c r="Z114" s="18"/>
      <c r="AD114" s="21"/>
    </row>
    <row r="115" spans="2:30" ht="12.15" customHeight="1" x14ac:dyDescent="0.25">
      <c r="B115" s="30" t="s">
        <v>53</v>
      </c>
      <c r="D115" s="85">
        <v>21600</v>
      </c>
      <c r="E115" s="85">
        <v>21220</v>
      </c>
      <c r="F115" s="148">
        <f t="shared" si="60"/>
        <v>380</v>
      </c>
      <c r="G115" s="85">
        <v>21000</v>
      </c>
      <c r="H115" s="85">
        <v>25541</v>
      </c>
      <c r="I115" s="148">
        <f t="shared" si="61"/>
        <v>-4541</v>
      </c>
      <c r="J115" s="85">
        <v>28790</v>
      </c>
      <c r="K115" s="184">
        <f t="shared" si="62"/>
        <v>-7790</v>
      </c>
      <c r="L115" s="85">
        <v>52125.950000000004</v>
      </c>
      <c r="M115" s="85">
        <v>54098.44000000001</v>
      </c>
      <c r="N115" s="85">
        <v>47983.96</v>
      </c>
      <c r="O115" s="85">
        <v>60012</v>
      </c>
      <c r="P115" s="86">
        <v>60088</v>
      </c>
      <c r="Q115" s="85">
        <v>65625</v>
      </c>
      <c r="R115" s="31">
        <v>60574</v>
      </c>
      <c r="S115" s="26">
        <v>78216.210000000006</v>
      </c>
      <c r="T115" s="26">
        <v>101220.01000000002</v>
      </c>
      <c r="U115" s="86">
        <v>102481.39000000001</v>
      </c>
      <c r="V115" s="31">
        <v>100367.01999999999</v>
      </c>
      <c r="W115" s="18"/>
      <c r="X115" s="26">
        <f t="shared" si="63"/>
        <v>-4541</v>
      </c>
      <c r="Y115" s="27">
        <f>X115/H115</f>
        <v>-0.17779256881093145</v>
      </c>
      <c r="Z115" s="18"/>
      <c r="AD115" s="21"/>
    </row>
    <row r="116" spans="2:30" ht="12.15" customHeight="1" x14ac:dyDescent="0.25">
      <c r="B116" s="30" t="s">
        <v>54</v>
      </c>
      <c r="D116" s="85">
        <v>22055</v>
      </c>
      <c r="E116" s="85">
        <v>18527</v>
      </c>
      <c r="F116" s="148">
        <f t="shared" si="60"/>
        <v>3528</v>
      </c>
      <c r="G116" s="85">
        <v>20600.000000000004</v>
      </c>
      <c r="H116" s="85">
        <v>11520</v>
      </c>
      <c r="I116" s="148">
        <f t="shared" si="61"/>
        <v>9080.0000000000036</v>
      </c>
      <c r="J116" s="85">
        <v>18252</v>
      </c>
      <c r="K116" s="184">
        <f t="shared" si="62"/>
        <v>2348.0000000000036</v>
      </c>
      <c r="L116" s="85">
        <v>15443.75</v>
      </c>
      <c r="M116" s="85">
        <v>15164.26</v>
      </c>
      <c r="N116" s="85">
        <v>16484.310000000001</v>
      </c>
      <c r="O116" s="85">
        <v>17048.5</v>
      </c>
      <c r="P116" s="86">
        <v>17788</v>
      </c>
      <c r="Q116" s="85">
        <v>16045</v>
      </c>
      <c r="R116" s="31">
        <v>16373</v>
      </c>
      <c r="S116" s="26">
        <v>15331.58</v>
      </c>
      <c r="T116" s="26">
        <v>15388.05</v>
      </c>
      <c r="U116" s="86">
        <v>6184.17</v>
      </c>
      <c r="V116" s="31">
        <v>0</v>
      </c>
      <c r="W116" s="18"/>
      <c r="X116" s="26">
        <f t="shared" si="63"/>
        <v>9080.0000000000036</v>
      </c>
      <c r="Y116" s="27">
        <f>X116/H116</f>
        <v>0.78819444444444475</v>
      </c>
      <c r="Z116" s="18"/>
      <c r="AD116" s="21"/>
    </row>
    <row r="117" spans="2:30" ht="12.15" customHeight="1" x14ac:dyDescent="0.25">
      <c r="B117" s="30" t="s">
        <v>90</v>
      </c>
      <c r="D117" s="85">
        <v>-136794.75</v>
      </c>
      <c r="E117" s="85">
        <v>-126579</v>
      </c>
      <c r="F117" s="148">
        <f t="shared" si="60"/>
        <v>-10215.75</v>
      </c>
      <c r="G117" s="85">
        <v>-123933.60000000002</v>
      </c>
      <c r="H117" s="85">
        <v>-80125</v>
      </c>
      <c r="I117" s="148">
        <f t="shared" si="61"/>
        <v>-43808.60000000002</v>
      </c>
      <c r="J117" s="85">
        <v>-131108</v>
      </c>
      <c r="K117" s="184">
        <f t="shared" si="62"/>
        <v>7174.3999999999796</v>
      </c>
      <c r="L117" s="85">
        <v>-127269.74</v>
      </c>
      <c r="M117" s="85">
        <v>-117581.69</v>
      </c>
      <c r="N117" s="85">
        <v>-121196</v>
      </c>
      <c r="O117" s="85">
        <v>-132238</v>
      </c>
      <c r="P117" s="86">
        <v>-143168</v>
      </c>
      <c r="Q117" s="85">
        <v>-133048</v>
      </c>
      <c r="R117" s="31">
        <v>0</v>
      </c>
      <c r="S117" s="26"/>
      <c r="T117" s="26"/>
      <c r="U117" s="32"/>
      <c r="V117" s="106"/>
      <c r="W117" s="18"/>
      <c r="X117" s="26">
        <f t="shared" si="63"/>
        <v>-43808.60000000002</v>
      </c>
      <c r="Y117" s="27">
        <f>X117/H117</f>
        <v>0.54675319812792533</v>
      </c>
      <c r="Z117" s="18"/>
      <c r="AD117" s="21"/>
    </row>
    <row r="118" spans="2:30" ht="12.15" customHeight="1" x14ac:dyDescent="0.25">
      <c r="B118" s="22"/>
      <c r="C118" s="4"/>
      <c r="D118" s="85"/>
      <c r="E118" s="85"/>
      <c r="F118" s="155">
        <f t="shared" si="60"/>
        <v>0</v>
      </c>
      <c r="G118" s="85"/>
      <c r="H118" s="85"/>
      <c r="I118" s="155">
        <f t="shared" si="61"/>
        <v>0</v>
      </c>
      <c r="J118" s="85"/>
      <c r="K118" s="184"/>
      <c r="L118" s="85"/>
      <c r="M118" s="85"/>
      <c r="N118" s="85"/>
      <c r="O118" s="85"/>
      <c r="P118" s="85"/>
      <c r="Q118" s="85"/>
      <c r="R118" s="40"/>
      <c r="S118" s="26"/>
      <c r="T118" s="31"/>
      <c r="U118" s="32"/>
      <c r="V118" s="32"/>
      <c r="W118" s="18"/>
      <c r="X118" s="26"/>
      <c r="Y118" s="27"/>
      <c r="Z118" s="18"/>
      <c r="AD118" s="21"/>
    </row>
    <row r="119" spans="2:30" ht="12" customHeight="1" x14ac:dyDescent="0.25">
      <c r="B119" s="43" t="s">
        <v>55</v>
      </c>
      <c r="C119" s="4"/>
      <c r="D119" s="44">
        <f>SUM(D111:D118)</f>
        <v>136794.75</v>
      </c>
      <c r="E119" s="44">
        <f>SUM(E111:E118)</f>
        <v>126578</v>
      </c>
      <c r="F119" s="156">
        <f t="shared" si="60"/>
        <v>10216.75</v>
      </c>
      <c r="G119" s="44">
        <f>SUM(G111:G118)</f>
        <v>123930.89999999998</v>
      </c>
      <c r="H119" s="44">
        <f>SUM(H111:H118)</f>
        <v>81094</v>
      </c>
      <c r="I119" s="156">
        <f t="shared" si="61"/>
        <v>42836.89999999998</v>
      </c>
      <c r="J119" s="44">
        <f>SUM(J111:J118)</f>
        <v>131025</v>
      </c>
      <c r="K119" s="183">
        <f t="shared" ref="K119" si="64">+G119-J119</f>
        <v>-7094.1000000000204</v>
      </c>
      <c r="L119" s="44">
        <v>127270.78000000001</v>
      </c>
      <c r="M119" s="44">
        <v>117579.06</v>
      </c>
      <c r="N119" s="44">
        <f>SUM(N111:N118)</f>
        <v>121195.74999999997</v>
      </c>
      <c r="O119" s="44">
        <f>SUM(O111:O117)</f>
        <v>132235.5</v>
      </c>
      <c r="P119" s="44">
        <f t="shared" ref="P119:V119" si="65">SUM(P111:P118)</f>
        <v>143167</v>
      </c>
      <c r="Q119" s="44">
        <f t="shared" si="65"/>
        <v>133051</v>
      </c>
      <c r="R119" s="44">
        <f t="shared" si="65"/>
        <v>249414</v>
      </c>
      <c r="S119" s="44">
        <f t="shared" si="65"/>
        <v>270138.60000000003</v>
      </c>
      <c r="T119" s="44">
        <f t="shared" si="65"/>
        <v>283814.96000000002</v>
      </c>
      <c r="U119" s="44">
        <f t="shared" si="65"/>
        <v>257725.26</v>
      </c>
      <c r="V119" s="44">
        <f t="shared" si="65"/>
        <v>273764.74</v>
      </c>
      <c r="W119" s="25"/>
      <c r="X119" s="72">
        <f>G119-H119</f>
        <v>42836.89999999998</v>
      </c>
      <c r="Y119" s="74">
        <f>X119/H119</f>
        <v>0.52823760080893756</v>
      </c>
      <c r="Z119" s="25"/>
      <c r="AD119" s="29"/>
    </row>
    <row r="120" spans="2:30" ht="12" customHeight="1" x14ac:dyDescent="0.25">
      <c r="B120" s="48"/>
      <c r="C120" s="49"/>
      <c r="D120" s="76"/>
      <c r="E120" s="76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7"/>
      <c r="X120" s="76"/>
      <c r="Y120" s="76"/>
      <c r="Z120" s="77"/>
      <c r="AD120" s="59"/>
    </row>
    <row r="121" spans="2:30" ht="12" customHeight="1" x14ac:dyDescent="0.25">
      <c r="B121" s="64" t="s">
        <v>56</v>
      </c>
      <c r="C121" s="4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10"/>
      <c r="X121" s="78"/>
      <c r="Y121" s="78"/>
      <c r="Z121" s="10"/>
      <c r="AD121" s="59"/>
    </row>
    <row r="122" spans="2:30" s="3" customFormat="1" ht="12" customHeight="1" x14ac:dyDescent="0.25">
      <c r="B122" s="79" t="s">
        <v>91</v>
      </c>
      <c r="D122" s="161">
        <v>72500</v>
      </c>
      <c r="E122" s="107">
        <v>26296.329999999998</v>
      </c>
      <c r="F122" s="148">
        <f t="shared" ref="F122:F133" si="66">D122-E122</f>
        <v>46203.67</v>
      </c>
      <c r="G122" s="161">
        <v>70500</v>
      </c>
      <c r="H122" s="107">
        <v>11599</v>
      </c>
      <c r="I122" s="148">
        <f t="shared" ref="I122:I133" si="67">G122-H122</f>
        <v>58901</v>
      </c>
      <c r="J122" s="107">
        <v>70334</v>
      </c>
      <c r="K122" s="184">
        <f t="shared" ref="K122:K133" si="68">+G122-J122</f>
        <v>166</v>
      </c>
      <c r="L122" s="107">
        <v>83452.66</v>
      </c>
      <c r="M122" s="107">
        <v>90841.45</v>
      </c>
      <c r="N122" s="107">
        <v>99089.95</v>
      </c>
      <c r="O122" s="107">
        <v>79271</v>
      </c>
      <c r="P122" s="107">
        <v>72448</v>
      </c>
      <c r="Q122" s="107">
        <v>45835</v>
      </c>
      <c r="R122" s="107">
        <v>26513</v>
      </c>
      <c r="S122" s="108">
        <v>46049.74</v>
      </c>
      <c r="T122" s="107">
        <v>37188.300000000003</v>
      </c>
      <c r="U122" s="108">
        <v>37682.720000000001</v>
      </c>
      <c r="V122" s="107">
        <v>39791.65</v>
      </c>
      <c r="W122" s="18"/>
      <c r="X122" s="26">
        <f t="shared" ref="X122:X133" si="69">G122-H122</f>
        <v>58901</v>
      </c>
      <c r="Y122" s="27">
        <f t="shared" ref="Y122:Y133" si="70">X122/H122</f>
        <v>5.0781101819122334</v>
      </c>
      <c r="Z122" s="10"/>
      <c r="AA122" s="6"/>
      <c r="AB122" s="6"/>
      <c r="AC122" s="6"/>
      <c r="AD122" s="58"/>
    </row>
    <row r="123" spans="2:30" s="3" customFormat="1" ht="12" customHeight="1" x14ac:dyDescent="0.25">
      <c r="B123" s="30" t="s">
        <v>110</v>
      </c>
      <c r="D123" s="162">
        <v>2400</v>
      </c>
      <c r="E123" s="37">
        <v>0</v>
      </c>
      <c r="F123" s="148">
        <f t="shared" si="66"/>
        <v>2400</v>
      </c>
      <c r="G123" s="162">
        <v>2200</v>
      </c>
      <c r="H123" s="37">
        <v>2783</v>
      </c>
      <c r="I123" s="148">
        <f t="shared" si="67"/>
        <v>-583</v>
      </c>
      <c r="J123" s="37">
        <v>2398</v>
      </c>
      <c r="K123" s="184">
        <f t="shared" si="68"/>
        <v>-198</v>
      </c>
      <c r="L123" s="37">
        <v>493.19</v>
      </c>
      <c r="M123" s="37">
        <v>6225.58</v>
      </c>
      <c r="N123" s="37">
        <v>3120.1000000000004</v>
      </c>
      <c r="O123" s="37">
        <v>5035</v>
      </c>
      <c r="P123" s="37">
        <v>2341</v>
      </c>
      <c r="Q123" s="37">
        <v>12783</v>
      </c>
      <c r="R123" s="37">
        <v>5322</v>
      </c>
      <c r="S123" s="110">
        <v>10012.950000000001</v>
      </c>
      <c r="T123" s="37">
        <v>26539.31</v>
      </c>
      <c r="U123" s="110">
        <v>26146.77</v>
      </c>
      <c r="V123" s="37">
        <v>2463.4</v>
      </c>
      <c r="W123" s="18"/>
      <c r="X123" s="26">
        <f t="shared" si="69"/>
        <v>-583</v>
      </c>
      <c r="Y123" s="27">
        <f t="shared" si="70"/>
        <v>-0.20948616600790515</v>
      </c>
      <c r="Z123" s="10"/>
      <c r="AA123" s="6"/>
      <c r="AB123" s="6"/>
      <c r="AC123" s="6"/>
      <c r="AD123" s="58"/>
    </row>
    <row r="124" spans="2:30" s="3" customFormat="1" ht="12" customHeight="1" x14ac:dyDescent="0.25">
      <c r="B124" s="30" t="s">
        <v>92</v>
      </c>
      <c r="D124" s="162">
        <v>22500</v>
      </c>
      <c r="E124" s="37">
        <v>3272.86</v>
      </c>
      <c r="F124" s="148">
        <f t="shared" si="66"/>
        <v>19227.14</v>
      </c>
      <c r="G124" s="162">
        <v>15166.63</v>
      </c>
      <c r="H124" s="37">
        <v>3333</v>
      </c>
      <c r="I124" s="148">
        <f t="shared" si="67"/>
        <v>11833.63</v>
      </c>
      <c r="J124" s="37">
        <v>19244</v>
      </c>
      <c r="K124" s="184">
        <f t="shared" si="68"/>
        <v>-4077.3700000000008</v>
      </c>
      <c r="L124" s="37">
        <v>10271.73</v>
      </c>
      <c r="M124" s="37">
        <v>11872.689999999999</v>
      </c>
      <c r="N124" s="37">
        <v>9034.51</v>
      </c>
      <c r="O124" s="37">
        <v>11897</v>
      </c>
      <c r="P124" s="37">
        <v>10771</v>
      </c>
      <c r="Q124" s="37">
        <v>6654</v>
      </c>
      <c r="R124" s="37">
        <v>12019</v>
      </c>
      <c r="S124" s="110">
        <v>5921.3</v>
      </c>
      <c r="T124" s="37">
        <v>5322.45</v>
      </c>
      <c r="U124" s="110">
        <v>6354.3</v>
      </c>
      <c r="V124" s="37">
        <v>8389.64</v>
      </c>
      <c r="W124" s="18"/>
      <c r="X124" s="26">
        <f t="shared" si="69"/>
        <v>11833.63</v>
      </c>
      <c r="Y124" s="27">
        <f t="shared" si="70"/>
        <v>3.5504440444044403</v>
      </c>
      <c r="Z124" s="10"/>
      <c r="AA124" s="6"/>
      <c r="AB124" s="6"/>
      <c r="AC124" s="6"/>
      <c r="AD124" s="58"/>
    </row>
    <row r="125" spans="2:30" s="3" customFormat="1" ht="12.75" customHeight="1" x14ac:dyDescent="0.25">
      <c r="B125" s="30" t="s">
        <v>61</v>
      </c>
      <c r="D125" s="162">
        <v>1800</v>
      </c>
      <c r="E125" s="37">
        <v>2368.2599999999993</v>
      </c>
      <c r="F125" s="148">
        <f t="shared" si="66"/>
        <v>-568.25999999999931</v>
      </c>
      <c r="G125" s="162">
        <v>600</v>
      </c>
      <c r="H125" s="37">
        <v>403</v>
      </c>
      <c r="I125" s="148">
        <f t="shared" si="67"/>
        <v>197</v>
      </c>
      <c r="J125" s="37">
        <v>222</v>
      </c>
      <c r="K125" s="184">
        <f t="shared" si="68"/>
        <v>378</v>
      </c>
      <c r="L125" s="37">
        <v>649.46</v>
      </c>
      <c r="M125" s="37">
        <v>305.75</v>
      </c>
      <c r="N125" s="37">
        <v>334.5</v>
      </c>
      <c r="O125" s="37">
        <v>374</v>
      </c>
      <c r="P125" s="37">
        <v>571</v>
      </c>
      <c r="Q125" s="37">
        <v>379</v>
      </c>
      <c r="R125" s="37">
        <v>174</v>
      </c>
      <c r="S125" s="110">
        <v>141.41999999999999</v>
      </c>
      <c r="T125" s="37">
        <v>536.08000000000004</v>
      </c>
      <c r="U125" s="110">
        <v>0</v>
      </c>
      <c r="V125" s="37">
        <v>878.76</v>
      </c>
      <c r="W125" s="18"/>
      <c r="X125" s="26">
        <f t="shared" si="69"/>
        <v>197</v>
      </c>
      <c r="Y125" s="27">
        <f t="shared" si="70"/>
        <v>0.48883374689826303</v>
      </c>
      <c r="Z125" s="10"/>
      <c r="AA125" s="6"/>
      <c r="AB125" s="6"/>
      <c r="AC125" s="6"/>
      <c r="AD125" s="58"/>
    </row>
    <row r="126" spans="2:30" s="3" customFormat="1" ht="12" customHeight="1" x14ac:dyDescent="0.25">
      <c r="B126" s="111" t="s">
        <v>79</v>
      </c>
      <c r="D126" s="162">
        <v>12600</v>
      </c>
      <c r="E126" s="112">
        <v>0</v>
      </c>
      <c r="F126" s="148">
        <f t="shared" si="66"/>
        <v>12600</v>
      </c>
      <c r="G126" s="162">
        <v>12000</v>
      </c>
      <c r="H126" s="112">
        <v>4658</v>
      </c>
      <c r="I126" s="148">
        <f t="shared" si="67"/>
        <v>7342</v>
      </c>
      <c r="J126" s="37">
        <v>13711</v>
      </c>
      <c r="K126" s="184">
        <f t="shared" si="68"/>
        <v>-1711</v>
      </c>
      <c r="L126" s="37">
        <v>2670.4700000000003</v>
      </c>
      <c r="M126" s="37">
        <v>6049.3200000000006</v>
      </c>
      <c r="N126" s="37">
        <v>10092.040000000001</v>
      </c>
      <c r="O126" s="37">
        <v>8571</v>
      </c>
      <c r="P126" s="37">
        <v>6270</v>
      </c>
      <c r="Q126" s="112">
        <v>3460</v>
      </c>
      <c r="R126" s="112"/>
      <c r="S126" s="113"/>
      <c r="T126" s="112"/>
      <c r="U126" s="113"/>
      <c r="V126" s="112"/>
      <c r="W126" s="114"/>
      <c r="X126" s="26">
        <f t="shared" si="69"/>
        <v>7342</v>
      </c>
      <c r="Y126" s="27">
        <f t="shared" si="70"/>
        <v>1.5762129669386002</v>
      </c>
      <c r="Z126" s="114"/>
      <c r="AA126" s="6"/>
      <c r="AB126" s="6"/>
      <c r="AC126" s="6"/>
      <c r="AD126" s="115"/>
    </row>
    <row r="127" spans="2:30" ht="12.15" customHeight="1" x14ac:dyDescent="0.25">
      <c r="B127" s="30" t="s">
        <v>93</v>
      </c>
      <c r="C127" s="1"/>
      <c r="D127" s="162">
        <v>335000</v>
      </c>
      <c r="E127" s="116">
        <v>317687.77324644401</v>
      </c>
      <c r="F127" s="148">
        <f t="shared" si="66"/>
        <v>17312.226753555995</v>
      </c>
      <c r="G127" s="162">
        <v>271740</v>
      </c>
      <c r="H127" s="116">
        <v>164886</v>
      </c>
      <c r="I127" s="148">
        <f t="shared" si="67"/>
        <v>106854</v>
      </c>
      <c r="J127" s="37">
        <v>339426</v>
      </c>
      <c r="K127" s="184">
        <f t="shared" si="68"/>
        <v>-67686</v>
      </c>
      <c r="L127" s="37">
        <v>364085.83</v>
      </c>
      <c r="M127" s="37">
        <v>305614.80000000005</v>
      </c>
      <c r="N127" s="37">
        <v>276497.02</v>
      </c>
      <c r="O127" s="37">
        <v>253409</v>
      </c>
      <c r="P127" s="37">
        <v>245114</v>
      </c>
      <c r="Q127" s="116">
        <v>256210</v>
      </c>
      <c r="R127" s="116">
        <v>156713</v>
      </c>
      <c r="S127" s="117"/>
      <c r="T127" s="116"/>
      <c r="U127" s="117"/>
      <c r="V127" s="116"/>
      <c r="W127" s="1"/>
      <c r="X127" s="26">
        <f t="shared" si="69"/>
        <v>106854</v>
      </c>
      <c r="Y127" s="27">
        <f t="shared" si="70"/>
        <v>0.64804774207634364</v>
      </c>
      <c r="Z127" s="18"/>
      <c r="AD127" s="21"/>
    </row>
    <row r="128" spans="2:30" ht="12.15" customHeight="1" x14ac:dyDescent="0.25">
      <c r="B128" s="30" t="s">
        <v>94</v>
      </c>
      <c r="D128" s="162">
        <v>1200</v>
      </c>
      <c r="E128" s="37">
        <v>6085.5300000000007</v>
      </c>
      <c r="F128" s="148">
        <f t="shared" si="66"/>
        <v>-4885.5300000000007</v>
      </c>
      <c r="G128" s="162">
        <v>0</v>
      </c>
      <c r="H128" s="37">
        <v>0</v>
      </c>
      <c r="I128" s="148">
        <f t="shared" si="67"/>
        <v>0</v>
      </c>
      <c r="J128" s="37">
        <v>0</v>
      </c>
      <c r="K128" s="184">
        <f t="shared" si="68"/>
        <v>0</v>
      </c>
      <c r="L128" s="37">
        <v>0</v>
      </c>
      <c r="M128" s="37">
        <v>0</v>
      </c>
      <c r="N128" s="37">
        <v>0</v>
      </c>
      <c r="O128" s="37"/>
      <c r="P128" s="37">
        <v>0</v>
      </c>
      <c r="Q128" s="37">
        <v>0</v>
      </c>
      <c r="R128" s="37">
        <v>6901</v>
      </c>
      <c r="S128" s="110">
        <v>1279.94</v>
      </c>
      <c r="T128" s="37">
        <v>0</v>
      </c>
      <c r="U128" s="110">
        <v>1400</v>
      </c>
      <c r="V128" s="37">
        <v>504.11</v>
      </c>
      <c r="W128" s="18"/>
      <c r="X128" s="26">
        <f t="shared" si="69"/>
        <v>0</v>
      </c>
      <c r="Y128" s="27" t="e">
        <f t="shared" si="70"/>
        <v>#DIV/0!</v>
      </c>
      <c r="Z128" s="18"/>
      <c r="AD128" s="21"/>
    </row>
    <row r="129" spans="2:30" ht="12.15" customHeight="1" x14ac:dyDescent="0.25">
      <c r="B129" s="30" t="s">
        <v>90</v>
      </c>
      <c r="C129" s="1"/>
      <c r="D129" s="162">
        <v>-224000</v>
      </c>
      <c r="E129" s="116">
        <v>-179139.06</v>
      </c>
      <c r="F129" s="148">
        <f t="shared" si="66"/>
        <v>-44860.94</v>
      </c>
      <c r="G129" s="162">
        <v>-186104.40000000002</v>
      </c>
      <c r="H129" s="116">
        <v>-98562</v>
      </c>
      <c r="I129" s="148">
        <f t="shared" si="67"/>
        <v>-87542.400000000023</v>
      </c>
      <c r="J129" s="37">
        <v>-222667</v>
      </c>
      <c r="K129" s="184">
        <f t="shared" si="68"/>
        <v>36562.599999999977</v>
      </c>
      <c r="L129" s="37">
        <v>-234652.98499999999</v>
      </c>
      <c r="M129" s="37">
        <v>-210455.80000000002</v>
      </c>
      <c r="N129" s="37">
        <v>-199085.54000000004</v>
      </c>
      <c r="O129" s="37">
        <v>-179204</v>
      </c>
      <c r="P129" s="37">
        <v>-168563</v>
      </c>
      <c r="Q129" s="116">
        <v>-168947</v>
      </c>
      <c r="R129" s="116">
        <v>-147392</v>
      </c>
      <c r="S129" s="117"/>
      <c r="T129" s="116"/>
      <c r="U129" s="117"/>
      <c r="V129" s="116"/>
      <c r="W129" s="1"/>
      <c r="X129" s="26">
        <f t="shared" si="69"/>
        <v>-87542.400000000023</v>
      </c>
      <c r="Y129" s="27">
        <f t="shared" si="70"/>
        <v>0.8881962622511721</v>
      </c>
      <c r="Z129" s="18"/>
      <c r="AD129" s="21"/>
    </row>
    <row r="130" spans="2:30" ht="12.15" customHeight="1" x14ac:dyDescent="0.25">
      <c r="B130" s="30" t="s">
        <v>95</v>
      </c>
      <c r="D130" s="162">
        <v>57000</v>
      </c>
      <c r="E130" s="37">
        <v>55780.185420000002</v>
      </c>
      <c r="F130" s="148">
        <f t="shared" si="66"/>
        <v>1219.8145799999984</v>
      </c>
      <c r="G130" s="162">
        <v>40150</v>
      </c>
      <c r="H130" s="37">
        <v>45775</v>
      </c>
      <c r="I130" s="148">
        <f t="shared" si="67"/>
        <v>-5625</v>
      </c>
      <c r="J130" s="37">
        <v>43500</v>
      </c>
      <c r="K130" s="184">
        <f t="shared" si="68"/>
        <v>-3350</v>
      </c>
      <c r="L130" s="37">
        <v>44350</v>
      </c>
      <c r="M130" s="37">
        <v>44280</v>
      </c>
      <c r="N130" s="37">
        <v>42380</v>
      </c>
      <c r="O130" s="37">
        <v>48534</v>
      </c>
      <c r="P130" s="37">
        <v>45516</v>
      </c>
      <c r="Q130" s="37">
        <v>25250</v>
      </c>
      <c r="R130" s="37">
        <v>40282</v>
      </c>
      <c r="S130" s="110">
        <v>34740.26</v>
      </c>
      <c r="T130" s="37">
        <v>40393.64</v>
      </c>
      <c r="U130" s="110">
        <v>34433.040000000001</v>
      </c>
      <c r="V130" s="37">
        <v>27714.43</v>
      </c>
      <c r="W130" s="18"/>
      <c r="X130" s="26">
        <f t="shared" si="69"/>
        <v>-5625</v>
      </c>
      <c r="Y130" s="27">
        <f t="shared" si="70"/>
        <v>-0.12288367012561442</v>
      </c>
      <c r="Z130" s="18"/>
      <c r="AD130" s="21"/>
    </row>
    <row r="131" spans="2:30" ht="12.15" customHeight="1" x14ac:dyDescent="0.3">
      <c r="B131" s="30" t="s">
        <v>96</v>
      </c>
      <c r="D131" s="109">
        <v>7200</v>
      </c>
      <c r="E131" s="37">
        <v>530.4</v>
      </c>
      <c r="F131" s="148">
        <f t="shared" si="66"/>
        <v>6669.6</v>
      </c>
      <c r="G131" s="109">
        <v>9500.0399999999991</v>
      </c>
      <c r="H131" s="37">
        <v>7998</v>
      </c>
      <c r="I131" s="148">
        <f t="shared" si="67"/>
        <v>1502.0399999999991</v>
      </c>
      <c r="J131" s="37">
        <v>7132</v>
      </c>
      <c r="K131" s="184">
        <f t="shared" si="68"/>
        <v>2368.0399999999991</v>
      </c>
      <c r="L131" s="37">
        <v>1680</v>
      </c>
      <c r="M131" s="37">
        <v>9156.130000000001</v>
      </c>
      <c r="N131" s="37">
        <v>9756.61</v>
      </c>
      <c r="O131" s="37">
        <v>8479.5</v>
      </c>
      <c r="P131" s="37">
        <v>4889</v>
      </c>
      <c r="Q131" s="37">
        <v>4784</v>
      </c>
      <c r="R131" s="37">
        <v>6169</v>
      </c>
      <c r="S131" s="110">
        <v>7630.48</v>
      </c>
      <c r="T131" s="37">
        <v>8750.84</v>
      </c>
      <c r="U131" s="110">
        <v>2858.5</v>
      </c>
      <c r="V131" s="37">
        <v>5525.08</v>
      </c>
      <c r="W131" s="18"/>
      <c r="X131" s="26">
        <f t="shared" si="69"/>
        <v>1502.0399999999991</v>
      </c>
      <c r="Y131" s="27">
        <f t="shared" si="70"/>
        <v>0.1878019504876218</v>
      </c>
      <c r="Z131" s="18"/>
      <c r="AD131" s="21"/>
    </row>
    <row r="132" spans="2:30" ht="12.15" customHeight="1" x14ac:dyDescent="0.3">
      <c r="B132" s="33" t="s">
        <v>97</v>
      </c>
      <c r="D132" s="118">
        <v>6100</v>
      </c>
      <c r="E132" s="38">
        <v>5404.85</v>
      </c>
      <c r="F132" s="150">
        <f t="shared" si="66"/>
        <v>695.14999999999964</v>
      </c>
      <c r="G132" s="118">
        <v>3788.3700000000008</v>
      </c>
      <c r="H132" s="38">
        <v>0</v>
      </c>
      <c r="I132" s="150">
        <f t="shared" si="67"/>
        <v>3788.3700000000008</v>
      </c>
      <c r="J132" s="38">
        <v>5168</v>
      </c>
      <c r="K132" s="184">
        <f t="shared" si="68"/>
        <v>-1379.6299999999992</v>
      </c>
      <c r="L132" s="38">
        <v>3162.5299999999997</v>
      </c>
      <c r="M132" s="38">
        <v>975.01</v>
      </c>
      <c r="N132" s="38">
        <v>5936.18</v>
      </c>
      <c r="O132" s="38">
        <v>1607.5</v>
      </c>
      <c r="P132" s="38">
        <v>3474</v>
      </c>
      <c r="Q132" s="38">
        <v>1652</v>
      </c>
      <c r="R132" s="38">
        <v>6230</v>
      </c>
      <c r="S132" s="119">
        <v>2532.75</v>
      </c>
      <c r="T132" s="38">
        <v>5442.29</v>
      </c>
      <c r="U132" s="119">
        <v>5431.2</v>
      </c>
      <c r="V132" s="38">
        <v>7292.52</v>
      </c>
      <c r="W132" s="18"/>
      <c r="X132" s="26">
        <f t="shared" si="69"/>
        <v>3788.3700000000008</v>
      </c>
      <c r="Y132" s="27" t="e">
        <f t="shared" si="70"/>
        <v>#DIV/0!</v>
      </c>
      <c r="Z132" s="18"/>
      <c r="AD132" s="21"/>
    </row>
    <row r="133" spans="2:30" ht="12.15" customHeight="1" x14ac:dyDescent="0.25">
      <c r="B133" s="71" t="s">
        <v>67</v>
      </c>
      <c r="C133" s="4"/>
      <c r="D133" s="45">
        <f>SUM(D122:D132)</f>
        <v>294300</v>
      </c>
      <c r="E133" s="45">
        <f>SUM(E122:E132)</f>
        <v>238287.12866644404</v>
      </c>
      <c r="F133" s="160">
        <f t="shared" si="66"/>
        <v>56012.871333555959</v>
      </c>
      <c r="G133" s="45">
        <f>SUM(G122:G132)</f>
        <v>239540.63999999998</v>
      </c>
      <c r="H133" s="45">
        <f>SUM(H122:H132)</f>
        <v>142873</v>
      </c>
      <c r="I133" s="160">
        <f t="shared" si="67"/>
        <v>96667.639999999985</v>
      </c>
      <c r="J133" s="45">
        <f>SUM(J122:J132)</f>
        <v>278468</v>
      </c>
      <c r="K133" s="183">
        <f t="shared" si="68"/>
        <v>-38927.360000000015</v>
      </c>
      <c r="L133" s="45">
        <v>276162.88500000007</v>
      </c>
      <c r="M133" s="45">
        <v>264864.93000000005</v>
      </c>
      <c r="N133" s="45">
        <f>SUM(N122:N132)</f>
        <v>257155.36999999994</v>
      </c>
      <c r="O133" s="45">
        <f>SUM(O122:O132)</f>
        <v>237974</v>
      </c>
      <c r="P133" s="45">
        <f>SUM(P122:P132)</f>
        <v>222831</v>
      </c>
      <c r="Q133" s="45">
        <f t="shared" ref="Q133:V133" si="71">SUM(Q122:Q132)</f>
        <v>188060</v>
      </c>
      <c r="R133" s="45">
        <f t="shared" si="71"/>
        <v>112931</v>
      </c>
      <c r="S133" s="45">
        <f t="shared" si="71"/>
        <v>108308.84000000001</v>
      </c>
      <c r="T133" s="45">
        <f t="shared" si="71"/>
        <v>124172.90999999999</v>
      </c>
      <c r="U133" s="45">
        <f t="shared" si="71"/>
        <v>114306.53000000001</v>
      </c>
      <c r="V133" s="45">
        <f t="shared" si="71"/>
        <v>92559.590000000011</v>
      </c>
      <c r="W133" s="25"/>
      <c r="X133" s="72">
        <f t="shared" si="69"/>
        <v>96667.639999999985</v>
      </c>
      <c r="Y133" s="74">
        <f t="shared" si="70"/>
        <v>0.67659837758008845</v>
      </c>
      <c r="Z133" s="25"/>
      <c r="AD133" s="29"/>
    </row>
    <row r="134" spans="2:30" ht="5.0999999999999996" customHeight="1" x14ac:dyDescent="0.25">
      <c r="B134" s="48"/>
      <c r="C134" s="49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8"/>
      <c r="X134" s="57"/>
      <c r="Y134" s="57"/>
      <c r="Z134" s="58"/>
      <c r="AD134" s="59"/>
    </row>
    <row r="135" spans="2:30" x14ac:dyDescent="0.25">
      <c r="B135" s="64" t="s">
        <v>68</v>
      </c>
      <c r="C135" s="4"/>
      <c r="D135" s="95"/>
      <c r="E135" s="95"/>
      <c r="F135" s="95"/>
      <c r="G135" s="95"/>
      <c r="H135" s="95"/>
      <c r="I135" s="95"/>
      <c r="J135" s="95"/>
      <c r="K135" s="95"/>
      <c r="L135" s="95"/>
      <c r="M135" s="95"/>
      <c r="N135" s="95"/>
      <c r="O135" s="95"/>
      <c r="P135" s="95"/>
      <c r="Q135" s="95"/>
      <c r="R135" s="95"/>
      <c r="S135" s="95"/>
      <c r="T135" s="95"/>
      <c r="U135" s="95"/>
      <c r="V135" s="95"/>
      <c r="W135" s="66"/>
      <c r="X135" s="120"/>
      <c r="Y135" s="120"/>
      <c r="Z135" s="66"/>
      <c r="AD135" s="59"/>
    </row>
    <row r="136" spans="2:30" ht="12.15" customHeight="1" x14ac:dyDescent="0.25">
      <c r="B136" s="104" t="s">
        <v>69</v>
      </c>
      <c r="C136" s="61"/>
      <c r="D136" s="97">
        <f>D119+D133</f>
        <v>431094.75</v>
      </c>
      <c r="E136" s="97">
        <f>E119+E133</f>
        <v>364865.12866644404</v>
      </c>
      <c r="F136" s="160">
        <f t="shared" ref="F136" si="72">D136-E136</f>
        <v>66229.621333555959</v>
      </c>
      <c r="G136" s="97">
        <f>G119+G133</f>
        <v>363471.54</v>
      </c>
      <c r="H136" s="97">
        <f>H119+H133</f>
        <v>223967</v>
      </c>
      <c r="I136" s="160">
        <f t="shared" ref="I136" si="73">G136-H136</f>
        <v>139504.53999999998</v>
      </c>
      <c r="J136" s="97">
        <f>J119+J133</f>
        <v>409493</v>
      </c>
      <c r="K136" s="183">
        <f t="shared" ref="K136" si="74">+G136-J136</f>
        <v>-46021.460000000021</v>
      </c>
      <c r="L136" s="97">
        <v>403433.6650000001</v>
      </c>
      <c r="M136" s="97">
        <v>382443.99000000005</v>
      </c>
      <c r="N136" s="97">
        <f>N119+N133</f>
        <v>378351.11999999988</v>
      </c>
      <c r="O136" s="97">
        <f t="shared" ref="O136:V136" si="75">O119+O133</f>
        <v>370209.5</v>
      </c>
      <c r="P136" s="97">
        <f t="shared" si="75"/>
        <v>365998</v>
      </c>
      <c r="Q136" s="97">
        <f t="shared" si="75"/>
        <v>321111</v>
      </c>
      <c r="R136" s="97">
        <f t="shared" si="75"/>
        <v>362345</v>
      </c>
      <c r="S136" s="45">
        <f t="shared" si="75"/>
        <v>378447.44000000006</v>
      </c>
      <c r="T136" s="55">
        <f t="shared" si="75"/>
        <v>407987.87</v>
      </c>
      <c r="U136" s="99">
        <f t="shared" si="75"/>
        <v>372031.79000000004</v>
      </c>
      <c r="V136" s="99">
        <f t="shared" si="75"/>
        <v>366324.33</v>
      </c>
      <c r="W136" s="121"/>
      <c r="X136" s="72">
        <f>H136-J136</f>
        <v>-185526</v>
      </c>
      <c r="Y136" s="74">
        <f>X136/H136</f>
        <v>-0.82836310706488014</v>
      </c>
      <c r="Z136" s="121"/>
      <c r="AD136" s="29"/>
    </row>
    <row r="137" spans="2:30" ht="12.15" customHeight="1" x14ac:dyDescent="0.25">
      <c r="B137" s="2"/>
      <c r="C137" s="4"/>
      <c r="D137" s="100"/>
      <c r="E137" s="100"/>
      <c r="F137" s="100"/>
      <c r="G137" s="10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93"/>
      <c r="X137" s="100"/>
      <c r="Y137" s="100"/>
      <c r="Z137" s="93"/>
      <c r="AD137" s="29"/>
    </row>
    <row r="138" spans="2:30" x14ac:dyDescent="0.25">
      <c r="B138" s="48"/>
      <c r="C138" s="49"/>
      <c r="D138" s="76"/>
      <c r="E138" s="76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7"/>
      <c r="X138" s="76"/>
      <c r="Y138" s="76"/>
      <c r="Z138" s="77"/>
      <c r="AD138" s="59"/>
    </row>
    <row r="139" spans="2:30" x14ac:dyDescent="0.25">
      <c r="B139" s="60" t="s">
        <v>98</v>
      </c>
      <c r="C139" s="61"/>
      <c r="D139" s="101"/>
      <c r="E139" s="101"/>
      <c r="F139" s="101"/>
      <c r="G139" s="101"/>
      <c r="H139" s="101"/>
      <c r="I139" s="101"/>
      <c r="J139" s="101"/>
      <c r="K139" s="101"/>
      <c r="L139" s="101"/>
      <c r="M139" s="101"/>
      <c r="N139" s="101"/>
      <c r="O139" s="101"/>
      <c r="P139" s="101"/>
      <c r="Q139" s="101"/>
      <c r="R139" s="101"/>
      <c r="S139" s="102"/>
      <c r="T139" s="101"/>
      <c r="U139" s="101"/>
      <c r="V139" s="101"/>
      <c r="W139" s="101"/>
      <c r="X139" s="101"/>
      <c r="Y139" s="101"/>
      <c r="Z139" s="10"/>
      <c r="AD139" s="59"/>
    </row>
    <row r="140" spans="2:30" ht="5.0999999999999996" customHeight="1" x14ac:dyDescent="0.25">
      <c r="B140" s="48"/>
      <c r="C140" s="49"/>
      <c r="D140" s="103"/>
      <c r="E140" s="103"/>
      <c r="F140" s="103"/>
      <c r="G140" s="103"/>
      <c r="H140" s="103"/>
      <c r="I140" s="103"/>
      <c r="J140" s="103"/>
      <c r="K140" s="103"/>
      <c r="L140" s="103"/>
      <c r="M140" s="103"/>
      <c r="N140" s="103"/>
      <c r="O140" s="103"/>
      <c r="P140" s="103"/>
      <c r="Q140" s="103"/>
      <c r="R140" s="103"/>
      <c r="S140" s="103"/>
      <c r="T140" s="103"/>
      <c r="U140" s="103"/>
      <c r="V140" s="103"/>
      <c r="W140" s="77"/>
      <c r="X140" s="103"/>
      <c r="Y140" s="103"/>
      <c r="Z140" s="77"/>
      <c r="AA140" s="1"/>
      <c r="AB140" s="1"/>
      <c r="AC140" s="1"/>
      <c r="AD140" s="59"/>
    </row>
    <row r="141" spans="2:30" x14ac:dyDescent="0.25">
      <c r="B141" s="64" t="s">
        <v>48</v>
      </c>
      <c r="C141" s="4"/>
      <c r="D141" s="14" t="str">
        <f>D3</f>
        <v>BUDGET 2022</v>
      </c>
      <c r="E141" s="14" t="str">
        <f>E3</f>
        <v>ACT 2021</v>
      </c>
      <c r="F141" s="147" t="s">
        <v>111</v>
      </c>
      <c r="G141" s="14" t="str">
        <f>G3</f>
        <v>BUDGET 2021</v>
      </c>
      <c r="H141" s="14" t="str">
        <f>H3</f>
        <v>ACTUAL 2020</v>
      </c>
      <c r="I141" s="147" t="s">
        <v>111</v>
      </c>
      <c r="J141" s="14" t="str">
        <f>J3</f>
        <v>ACTUAL 2019</v>
      </c>
      <c r="K141" s="185" t="str">
        <f>+K110</f>
        <v>B 2021 vs A2019</v>
      </c>
      <c r="L141" s="14" t="s">
        <v>3</v>
      </c>
      <c r="M141" s="14" t="s">
        <v>4</v>
      </c>
      <c r="N141" s="14" t="str">
        <f>N110</f>
        <v>ACTUAL 2016</v>
      </c>
      <c r="O141" s="14" t="str">
        <f>O3</f>
        <v>ACTUAL 2015</v>
      </c>
      <c r="P141" s="14" t="str">
        <f t="shared" ref="P141:V141" si="76">P110</f>
        <v>ACTUAL 2014</v>
      </c>
      <c r="Q141" s="14" t="str">
        <f t="shared" si="76"/>
        <v>ACTUAL 2013</v>
      </c>
      <c r="R141" s="14" t="str">
        <f t="shared" si="76"/>
        <v>ACTUAL 2012</v>
      </c>
      <c r="S141" s="14" t="str">
        <f t="shared" si="76"/>
        <v>ACTUAL 2011</v>
      </c>
      <c r="T141" s="14" t="str">
        <f t="shared" si="76"/>
        <v>ACTUAL 2010</v>
      </c>
      <c r="U141" s="14" t="str">
        <f t="shared" si="76"/>
        <v>ACTUAL 2009</v>
      </c>
      <c r="V141" s="14" t="str">
        <f t="shared" si="76"/>
        <v>ACTUAL 2008</v>
      </c>
      <c r="W141" s="10"/>
      <c r="X141" s="789" t="str">
        <f>X110</f>
        <v>Var Bud-21 Actual-20</v>
      </c>
      <c r="Y141" s="790"/>
      <c r="Z141" s="10"/>
      <c r="AD141" s="59"/>
    </row>
    <row r="142" spans="2:30" ht="12.15" hidden="1" customHeight="1" x14ac:dyDescent="0.25">
      <c r="B142" s="122" t="s">
        <v>99</v>
      </c>
      <c r="D142" s="123"/>
      <c r="E142" s="123"/>
      <c r="F142" s="123"/>
      <c r="G142" s="123"/>
      <c r="H142" s="123"/>
      <c r="I142" s="123"/>
      <c r="J142" s="123"/>
      <c r="K142" s="187"/>
      <c r="L142" s="123"/>
      <c r="M142" s="123"/>
      <c r="N142" s="123"/>
      <c r="O142" s="123"/>
      <c r="P142" s="123"/>
      <c r="Q142" s="123"/>
      <c r="R142" s="123"/>
      <c r="S142" s="124"/>
      <c r="T142" s="125"/>
      <c r="U142" s="126"/>
      <c r="V142" s="126"/>
      <c r="W142" s="90"/>
      <c r="X142" s="127"/>
      <c r="Y142" s="128"/>
      <c r="Z142" s="90"/>
      <c r="AD142" s="21"/>
    </row>
    <row r="143" spans="2:30" ht="12.15" hidden="1" customHeight="1" x14ac:dyDescent="0.25">
      <c r="B143" s="129" t="s">
        <v>100</v>
      </c>
      <c r="C143" s="4"/>
      <c r="D143" s="130"/>
      <c r="E143" s="130"/>
      <c r="F143" s="130"/>
      <c r="G143" s="130"/>
      <c r="H143" s="130"/>
      <c r="I143" s="130"/>
      <c r="J143" s="130"/>
      <c r="K143" s="188"/>
      <c r="L143" s="130"/>
      <c r="M143" s="130"/>
      <c r="N143" s="130"/>
      <c r="O143" s="130"/>
      <c r="P143" s="130"/>
      <c r="Q143" s="130"/>
      <c r="R143" s="130"/>
      <c r="S143" s="131"/>
      <c r="T143" s="132"/>
      <c r="U143" s="133"/>
      <c r="V143" s="133"/>
      <c r="W143" s="90"/>
      <c r="X143" s="132"/>
      <c r="Y143" s="128"/>
      <c r="Z143" s="90"/>
      <c r="AD143" s="21"/>
    </row>
    <row r="144" spans="2:30" ht="12.15" hidden="1" customHeight="1" x14ac:dyDescent="0.25">
      <c r="B144" s="134"/>
      <c r="D144" s="130"/>
      <c r="E144" s="130"/>
      <c r="F144" s="130"/>
      <c r="G144" s="130"/>
      <c r="H144" s="130"/>
      <c r="I144" s="130"/>
      <c r="J144" s="130"/>
      <c r="K144" s="188"/>
      <c r="L144" s="130"/>
      <c r="M144" s="130"/>
      <c r="N144" s="130"/>
      <c r="O144" s="130"/>
      <c r="P144" s="130"/>
      <c r="Q144" s="130"/>
      <c r="R144" s="130"/>
      <c r="S144" s="131"/>
      <c r="T144" s="132"/>
      <c r="U144" s="133"/>
      <c r="V144" s="133"/>
      <c r="W144" s="90"/>
      <c r="X144" s="132"/>
      <c r="Y144" s="128"/>
      <c r="Z144" s="90"/>
      <c r="AD144" s="21"/>
    </row>
    <row r="145" spans="2:30" ht="12.15" hidden="1" customHeight="1" x14ac:dyDescent="0.25">
      <c r="B145" s="134" t="s">
        <v>50</v>
      </c>
      <c r="D145" s="130"/>
      <c r="E145" s="130"/>
      <c r="F145" s="130"/>
      <c r="G145" s="130"/>
      <c r="H145" s="130"/>
      <c r="I145" s="130"/>
      <c r="J145" s="130"/>
      <c r="K145" s="188"/>
      <c r="L145" s="130"/>
      <c r="M145" s="130"/>
      <c r="N145" s="130"/>
      <c r="O145" s="130"/>
      <c r="P145" s="130"/>
      <c r="Q145" s="130"/>
      <c r="R145" s="130"/>
      <c r="S145" s="131"/>
      <c r="T145" s="132"/>
      <c r="U145" s="133"/>
      <c r="V145" s="133"/>
      <c r="W145" s="90"/>
      <c r="X145" s="132"/>
      <c r="Y145" s="128"/>
      <c r="Z145" s="90"/>
      <c r="AD145" s="21"/>
    </row>
    <row r="146" spans="2:30" ht="12.15" hidden="1" customHeight="1" x14ac:dyDescent="0.25">
      <c r="B146" s="134" t="s">
        <v>73</v>
      </c>
      <c r="D146" s="130"/>
      <c r="E146" s="130"/>
      <c r="F146" s="130"/>
      <c r="G146" s="130"/>
      <c r="H146" s="130"/>
      <c r="I146" s="130"/>
      <c r="J146" s="130"/>
      <c r="K146" s="188"/>
      <c r="L146" s="130"/>
      <c r="M146" s="130"/>
      <c r="N146" s="130"/>
      <c r="O146" s="130"/>
      <c r="P146" s="130"/>
      <c r="Q146" s="130"/>
      <c r="R146" s="130"/>
      <c r="S146" s="131"/>
      <c r="T146" s="132"/>
      <c r="U146" s="133"/>
      <c r="V146" s="133"/>
      <c r="W146" s="90"/>
      <c r="X146" s="132"/>
      <c r="Y146" s="128"/>
      <c r="Z146" s="90"/>
      <c r="AD146" s="21"/>
    </row>
    <row r="147" spans="2:30" ht="12.15" hidden="1" customHeight="1" x14ac:dyDescent="0.25">
      <c r="B147" s="134" t="s">
        <v>52</v>
      </c>
      <c r="D147" s="130"/>
      <c r="E147" s="130"/>
      <c r="F147" s="130"/>
      <c r="G147" s="130"/>
      <c r="H147" s="130"/>
      <c r="I147" s="130"/>
      <c r="J147" s="130"/>
      <c r="K147" s="188"/>
      <c r="L147" s="130"/>
      <c r="M147" s="130"/>
      <c r="N147" s="130"/>
      <c r="O147" s="130"/>
      <c r="P147" s="130"/>
      <c r="Q147" s="130"/>
      <c r="R147" s="130"/>
      <c r="S147" s="131"/>
      <c r="T147" s="132"/>
      <c r="U147" s="133"/>
      <c r="V147" s="133"/>
      <c r="W147" s="90"/>
      <c r="X147" s="132"/>
      <c r="Y147" s="128"/>
      <c r="Z147" s="90"/>
      <c r="AD147" s="21"/>
    </row>
    <row r="148" spans="2:30" ht="12.15" hidden="1" customHeight="1" x14ac:dyDescent="0.25">
      <c r="B148" s="134" t="s">
        <v>53</v>
      </c>
      <c r="D148" s="130"/>
      <c r="E148" s="130"/>
      <c r="F148" s="130"/>
      <c r="G148" s="130"/>
      <c r="H148" s="130"/>
      <c r="I148" s="130"/>
      <c r="J148" s="130"/>
      <c r="K148" s="188"/>
      <c r="L148" s="130"/>
      <c r="M148" s="130"/>
      <c r="N148" s="130"/>
      <c r="O148" s="130"/>
      <c r="P148" s="130"/>
      <c r="Q148" s="130"/>
      <c r="R148" s="130"/>
      <c r="S148" s="131"/>
      <c r="T148" s="132"/>
      <c r="U148" s="133"/>
      <c r="V148" s="133"/>
      <c r="W148" s="90"/>
      <c r="X148" s="132"/>
      <c r="Y148" s="128"/>
      <c r="Z148" s="90"/>
      <c r="AD148" s="21"/>
    </row>
    <row r="149" spans="2:30" ht="12.15" hidden="1" customHeight="1" x14ac:dyDescent="0.25">
      <c r="B149" s="135" t="s">
        <v>54</v>
      </c>
      <c r="D149" s="136"/>
      <c r="E149" s="136"/>
      <c r="F149" s="136"/>
      <c r="G149" s="136"/>
      <c r="H149" s="136"/>
      <c r="I149" s="136"/>
      <c r="J149" s="136"/>
      <c r="K149" s="189"/>
      <c r="L149" s="136"/>
      <c r="M149" s="136"/>
      <c r="N149" s="136"/>
      <c r="O149" s="136"/>
      <c r="P149" s="136"/>
      <c r="Q149" s="136"/>
      <c r="R149" s="136"/>
      <c r="S149" s="137"/>
      <c r="T149" s="127"/>
      <c r="U149" s="138"/>
      <c r="V149" s="138"/>
      <c r="W149" s="90"/>
      <c r="X149" s="127"/>
      <c r="Y149" s="128"/>
      <c r="Z149" s="90"/>
      <c r="AD149" s="21"/>
    </row>
    <row r="150" spans="2:30" ht="12.15" hidden="1" customHeight="1" x14ac:dyDescent="0.25">
      <c r="B150" s="129" t="s">
        <v>101</v>
      </c>
      <c r="C150" s="4"/>
      <c r="D150" s="130"/>
      <c r="E150" s="130"/>
      <c r="F150" s="130"/>
      <c r="G150" s="130"/>
      <c r="H150" s="130"/>
      <c r="I150" s="130"/>
      <c r="J150" s="130"/>
      <c r="K150" s="188"/>
      <c r="L150" s="130"/>
      <c r="M150" s="130"/>
      <c r="N150" s="130"/>
      <c r="O150" s="130"/>
      <c r="P150" s="130"/>
      <c r="Q150" s="130"/>
      <c r="R150" s="130"/>
      <c r="S150" s="131"/>
      <c r="T150" s="132"/>
      <c r="U150" s="133"/>
      <c r="V150" s="133"/>
      <c r="W150" s="90"/>
      <c r="X150" s="132"/>
      <c r="Y150" s="128"/>
      <c r="Z150" s="90"/>
      <c r="AD150" s="21"/>
    </row>
    <row r="151" spans="2:30" ht="5.0999999999999996" customHeight="1" x14ac:dyDescent="0.25">
      <c r="B151" s="139"/>
      <c r="C151" s="4"/>
      <c r="D151" s="130"/>
      <c r="E151" s="130"/>
      <c r="F151" s="163"/>
      <c r="G151" s="130"/>
      <c r="H151" s="130"/>
      <c r="I151" s="163"/>
      <c r="J151" s="130"/>
      <c r="K151" s="188"/>
      <c r="L151" s="130"/>
      <c r="M151" s="130"/>
      <c r="N151" s="130"/>
      <c r="O151" s="130"/>
      <c r="P151" s="130"/>
      <c r="Q151" s="130"/>
      <c r="R151" s="130"/>
      <c r="S151" s="131"/>
      <c r="T151" s="132"/>
      <c r="U151" s="133"/>
      <c r="V151" s="133"/>
      <c r="W151" s="90"/>
      <c r="X151" s="131"/>
      <c r="Y151" s="27"/>
      <c r="Z151" s="90"/>
      <c r="AD151" s="21"/>
    </row>
    <row r="152" spans="2:30" ht="12.15" customHeight="1" x14ac:dyDescent="0.25">
      <c r="B152" s="22" t="s">
        <v>102</v>
      </c>
      <c r="C152" s="4"/>
      <c r="D152" s="31">
        <v>74300</v>
      </c>
      <c r="E152" s="31">
        <v>69485</v>
      </c>
      <c r="F152" s="148">
        <f t="shared" ref="F152:F154" si="77">D152-E152</f>
        <v>4815</v>
      </c>
      <c r="G152" s="31">
        <v>63125</v>
      </c>
      <c r="H152" s="31">
        <v>59010</v>
      </c>
      <c r="I152" s="148">
        <f t="shared" ref="I152:I154" si="78">G152-H152</f>
        <v>4115</v>
      </c>
      <c r="J152" s="31">
        <v>59010</v>
      </c>
      <c r="K152" s="168">
        <f t="shared" ref="K152:K154" si="79">+G152-J152</f>
        <v>4115</v>
      </c>
      <c r="L152" s="31">
        <v>56268.35</v>
      </c>
      <c r="M152" s="31">
        <v>57228.23</v>
      </c>
      <c r="N152" s="31">
        <v>63431.76999999999</v>
      </c>
      <c r="O152" s="31">
        <v>52632</v>
      </c>
      <c r="P152" s="31">
        <v>48799</v>
      </c>
      <c r="Q152" s="31">
        <v>48517</v>
      </c>
      <c r="R152" s="31">
        <v>34593</v>
      </c>
      <c r="S152" s="31">
        <v>32330.61</v>
      </c>
      <c r="T152" s="31">
        <v>44656</v>
      </c>
      <c r="U152" s="31">
        <v>36044.18</v>
      </c>
      <c r="V152" s="31">
        <v>40776.94</v>
      </c>
      <c r="W152" s="18"/>
      <c r="X152" s="26">
        <f>G152-H152</f>
        <v>4115</v>
      </c>
      <c r="Y152" s="27">
        <f>X152/H152</f>
        <v>6.973394339942382E-2</v>
      </c>
      <c r="Z152" s="18"/>
      <c r="AD152" s="21"/>
    </row>
    <row r="153" spans="2:30" ht="5.0999999999999996" customHeight="1" x14ac:dyDescent="0.25">
      <c r="B153" s="30"/>
      <c r="D153" s="130"/>
      <c r="E153" s="130"/>
      <c r="F153" s="155">
        <f t="shared" si="77"/>
        <v>0</v>
      </c>
      <c r="G153" s="130"/>
      <c r="H153" s="130"/>
      <c r="I153" s="155">
        <f t="shared" si="78"/>
        <v>0</v>
      </c>
      <c r="J153" s="130"/>
      <c r="K153" s="188">
        <f t="shared" si="79"/>
        <v>0</v>
      </c>
      <c r="L153" s="130"/>
      <c r="M153" s="130"/>
      <c r="N153" s="130"/>
      <c r="O153" s="130"/>
      <c r="P153" s="130"/>
      <c r="Q153" s="130"/>
      <c r="R153" s="130"/>
      <c r="S153" s="131"/>
      <c r="T153" s="132"/>
      <c r="U153" s="133"/>
      <c r="V153" s="133"/>
      <c r="W153" s="90"/>
      <c r="X153" s="26">
        <f>G153-H153</f>
        <v>0</v>
      </c>
      <c r="Y153" s="27"/>
      <c r="Z153" s="90"/>
      <c r="AD153" s="21"/>
    </row>
    <row r="154" spans="2:30" ht="12" customHeight="1" x14ac:dyDescent="0.25">
      <c r="B154" s="43" t="s">
        <v>55</v>
      </c>
      <c r="C154" s="4"/>
      <c r="D154" s="140">
        <f>D152</f>
        <v>74300</v>
      </c>
      <c r="E154" s="140">
        <f>+E152</f>
        <v>69485</v>
      </c>
      <c r="F154" s="158">
        <f t="shared" si="77"/>
        <v>4815</v>
      </c>
      <c r="G154" s="140">
        <f>G152</f>
        <v>63125</v>
      </c>
      <c r="H154" s="140">
        <v>50379</v>
      </c>
      <c r="I154" s="158">
        <f t="shared" si="78"/>
        <v>12746</v>
      </c>
      <c r="J154" s="140">
        <f>J152</f>
        <v>59010</v>
      </c>
      <c r="K154" s="190">
        <f t="shared" si="79"/>
        <v>4115</v>
      </c>
      <c r="L154" s="140">
        <f>L152</f>
        <v>56268.35</v>
      </c>
      <c r="M154" s="140">
        <v>57228.23</v>
      </c>
      <c r="N154" s="140">
        <f>N152</f>
        <v>63431.76999999999</v>
      </c>
      <c r="O154" s="140">
        <f>SUM(O152)</f>
        <v>52632</v>
      </c>
      <c r="P154" s="140">
        <f t="shared" ref="P154:V154" si="80">P152</f>
        <v>48799</v>
      </c>
      <c r="Q154" s="140">
        <f t="shared" si="80"/>
        <v>48517</v>
      </c>
      <c r="R154" s="44">
        <f t="shared" si="80"/>
        <v>34593</v>
      </c>
      <c r="S154" s="141">
        <f t="shared" si="80"/>
        <v>32330.61</v>
      </c>
      <c r="T154" s="44">
        <f t="shared" si="80"/>
        <v>44656</v>
      </c>
      <c r="U154" s="142">
        <f t="shared" si="80"/>
        <v>36044.18</v>
      </c>
      <c r="V154" s="142">
        <f t="shared" si="80"/>
        <v>40776.94</v>
      </c>
      <c r="W154" s="25"/>
      <c r="X154" s="143">
        <f>G154-H154</f>
        <v>12746</v>
      </c>
      <c r="Y154" s="144">
        <f>X154/H154</f>
        <v>0.25300224299807461</v>
      </c>
      <c r="Z154" s="75"/>
      <c r="AD154" s="29"/>
    </row>
    <row r="155" spans="2:30" ht="12" customHeight="1" x14ac:dyDescent="0.25">
      <c r="B155" s="48"/>
      <c r="C155" s="49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8"/>
      <c r="X155" s="57"/>
      <c r="Y155" s="57"/>
      <c r="Z155" s="58"/>
      <c r="AD155" s="59"/>
    </row>
    <row r="156" spans="2:30" ht="12" customHeight="1" x14ac:dyDescent="0.25">
      <c r="B156" s="64" t="s">
        <v>56</v>
      </c>
      <c r="C156" s="4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10"/>
      <c r="X156" s="9"/>
      <c r="Y156" s="9"/>
      <c r="Z156" s="10"/>
      <c r="AD156" s="59"/>
    </row>
    <row r="157" spans="2:30" ht="12.15" customHeight="1" x14ac:dyDescent="0.25">
      <c r="B157" s="30" t="s">
        <v>103</v>
      </c>
      <c r="D157" s="81">
        <v>4500</v>
      </c>
      <c r="E157" s="81">
        <v>4500</v>
      </c>
      <c r="F157" s="148">
        <f t="shared" ref="F157:F160" si="81">D157-E157</f>
        <v>0</v>
      </c>
      <c r="G157" s="81">
        <v>4500</v>
      </c>
      <c r="H157" s="81">
        <v>4100</v>
      </c>
      <c r="I157" s="148">
        <f t="shared" ref="I157:I160" si="82">G157-H157</f>
        <v>400</v>
      </c>
      <c r="J157" s="81">
        <f>'[5]FC 2019'!Q184</f>
        <v>4500</v>
      </c>
      <c r="K157" s="181">
        <f t="shared" ref="K157:K160" si="83">+G157-J157</f>
        <v>0</v>
      </c>
      <c r="L157" s="81">
        <v>10924</v>
      </c>
      <c r="M157" s="81">
        <v>4500</v>
      </c>
      <c r="N157" s="81">
        <f>'[5]FC 2019'!Q184</f>
        <v>4500</v>
      </c>
      <c r="O157" s="81">
        <f>'[5]FC 2019'!Q184</f>
        <v>4500</v>
      </c>
      <c r="P157" s="81">
        <f>'[5]FC 2019'!Q188</f>
        <v>8500</v>
      </c>
      <c r="Q157" s="81">
        <v>3960</v>
      </c>
      <c r="R157" s="81">
        <v>3810</v>
      </c>
      <c r="S157" s="81">
        <v>3600</v>
      </c>
      <c r="T157" s="81">
        <v>3600</v>
      </c>
      <c r="U157" s="81">
        <v>3600</v>
      </c>
      <c r="V157" s="81">
        <v>3600</v>
      </c>
      <c r="W157" s="18"/>
      <c r="X157" s="82">
        <f>G157-H157</f>
        <v>400</v>
      </c>
      <c r="Y157" s="84">
        <f>X157/H157</f>
        <v>9.7560975609756101E-2</v>
      </c>
      <c r="Z157" s="18"/>
      <c r="AD157" s="21"/>
    </row>
    <row r="158" spans="2:30" ht="12.15" customHeight="1" x14ac:dyDescent="0.25">
      <c r="B158" s="30" t="s">
        <v>104</v>
      </c>
      <c r="D158" s="85"/>
      <c r="E158" s="85"/>
      <c r="F158" s="148">
        <f t="shared" si="81"/>
        <v>0</v>
      </c>
      <c r="G158" s="85"/>
      <c r="H158" s="85"/>
      <c r="I158" s="148">
        <f t="shared" si="82"/>
        <v>0</v>
      </c>
      <c r="J158" s="85"/>
      <c r="K158" s="184">
        <f t="shared" si="83"/>
        <v>0</v>
      </c>
      <c r="L158" s="85"/>
      <c r="M158" s="85"/>
      <c r="N158" s="85"/>
      <c r="O158" s="85"/>
      <c r="P158" s="85"/>
      <c r="Q158" s="85"/>
      <c r="R158" s="31"/>
      <c r="S158" s="26"/>
      <c r="T158" s="31"/>
      <c r="U158" s="32"/>
      <c r="V158" s="32"/>
      <c r="W158" s="18"/>
      <c r="X158" s="26">
        <f>G158-H158</f>
        <v>0</v>
      </c>
      <c r="Y158" s="27"/>
      <c r="Z158" s="18"/>
      <c r="AD158" s="21"/>
    </row>
    <row r="159" spans="2:30" ht="12.15" customHeight="1" x14ac:dyDescent="0.25">
      <c r="B159" s="30" t="s">
        <v>94</v>
      </c>
      <c r="D159" s="85">
        <v>3600</v>
      </c>
      <c r="E159" s="85">
        <v>266.5</v>
      </c>
      <c r="F159" s="155">
        <f t="shared" si="81"/>
        <v>3333.5</v>
      </c>
      <c r="G159" s="85">
        <v>3667</v>
      </c>
      <c r="H159" s="85"/>
      <c r="I159" s="155">
        <f t="shared" si="82"/>
        <v>3667</v>
      </c>
      <c r="J159" s="85"/>
      <c r="K159" s="184">
        <f t="shared" si="83"/>
        <v>3667</v>
      </c>
      <c r="L159" s="85">
        <v>399</v>
      </c>
      <c r="M159" s="85"/>
      <c r="N159" s="85"/>
      <c r="O159" s="85"/>
      <c r="P159" s="85"/>
      <c r="Q159" s="85"/>
      <c r="R159" s="40"/>
      <c r="S159" s="26"/>
      <c r="T159" s="31"/>
      <c r="U159" s="32"/>
      <c r="V159" s="32"/>
      <c r="W159" s="18"/>
      <c r="X159" s="26">
        <f>G159-H159</f>
        <v>3667</v>
      </c>
      <c r="Y159" s="27"/>
      <c r="Z159" s="18"/>
      <c r="AD159" s="21"/>
    </row>
    <row r="160" spans="2:30" ht="12.15" customHeight="1" x14ac:dyDescent="0.25">
      <c r="B160" s="43" t="s">
        <v>67</v>
      </c>
      <c r="C160" s="4"/>
      <c r="D160" s="140">
        <f>SUM(D157:D159)</f>
        <v>8100</v>
      </c>
      <c r="E160" s="140">
        <f>SUM(E157:E159)</f>
        <v>4766.5</v>
      </c>
      <c r="F160" s="158">
        <f t="shared" si="81"/>
        <v>3333.5</v>
      </c>
      <c r="G160" s="140">
        <f>SUM(G157:G159)</f>
        <v>8167</v>
      </c>
      <c r="H160" s="140">
        <f>SUM(H157:H159)</f>
        <v>4100</v>
      </c>
      <c r="I160" s="158">
        <f t="shared" si="82"/>
        <v>4067</v>
      </c>
      <c r="J160" s="140">
        <f>SUM(J157:J159)</f>
        <v>4500</v>
      </c>
      <c r="K160" s="190">
        <f t="shared" si="83"/>
        <v>3667</v>
      </c>
      <c r="L160" s="140">
        <f>SUM(L157:L159)</f>
        <v>11323</v>
      </c>
      <c r="M160" s="140">
        <v>4500</v>
      </c>
      <c r="N160" s="140">
        <f>SUM(N157:N159)</f>
        <v>4500</v>
      </c>
      <c r="O160" s="140">
        <f>SUM(O157:O159)</f>
        <v>4500</v>
      </c>
      <c r="P160" s="140">
        <f t="shared" ref="P160:V160" si="84">SUM(P157:P159)</f>
        <v>8500</v>
      </c>
      <c r="Q160" s="140">
        <f t="shared" si="84"/>
        <v>3960</v>
      </c>
      <c r="R160" s="140">
        <f t="shared" si="84"/>
        <v>3810</v>
      </c>
      <c r="S160" s="141">
        <f t="shared" si="84"/>
        <v>3600</v>
      </c>
      <c r="T160" s="44">
        <f t="shared" si="84"/>
        <v>3600</v>
      </c>
      <c r="U160" s="142">
        <f t="shared" si="84"/>
        <v>3600</v>
      </c>
      <c r="V160" s="142">
        <f t="shared" si="84"/>
        <v>3600</v>
      </c>
      <c r="W160" s="25"/>
      <c r="X160" s="143">
        <f>G160-H160</f>
        <v>4067</v>
      </c>
      <c r="Y160" s="144">
        <f>X160/H160</f>
        <v>0.99195121951219511</v>
      </c>
      <c r="Z160" s="25"/>
      <c r="AD160" s="29"/>
    </row>
    <row r="161" spans="2:30" ht="5.0999999999999996" customHeight="1" x14ac:dyDescent="0.25">
      <c r="B161" s="48"/>
      <c r="C161" s="49"/>
      <c r="D161" s="76"/>
      <c r="E161" s="76"/>
      <c r="F161" s="76"/>
      <c r="G161" s="76"/>
      <c r="H161" s="76"/>
      <c r="I161" s="76"/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7"/>
      <c r="X161" s="76"/>
      <c r="Y161" s="76"/>
      <c r="Z161" s="77"/>
      <c r="AD161" s="59"/>
    </row>
    <row r="162" spans="2:30" x14ac:dyDescent="0.25">
      <c r="B162" s="64" t="s">
        <v>68</v>
      </c>
      <c r="C162" s="4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10"/>
      <c r="X162" s="78"/>
      <c r="Y162" s="9"/>
      <c r="Z162" s="10"/>
      <c r="AD162" s="59"/>
    </row>
    <row r="163" spans="2:30" ht="12.15" customHeight="1" x14ac:dyDescent="0.25">
      <c r="B163" s="104" t="s">
        <v>69</v>
      </c>
      <c r="C163" s="61"/>
      <c r="D163" s="97">
        <f>D154+D160</f>
        <v>82400</v>
      </c>
      <c r="E163" s="97">
        <f>E154+E160</f>
        <v>74251.5</v>
      </c>
      <c r="F163" s="159">
        <f t="shared" ref="F163" si="85">D163-E163</f>
        <v>8148.5</v>
      </c>
      <c r="G163" s="97">
        <f>G154+G160</f>
        <v>71292</v>
      </c>
      <c r="H163" s="97">
        <f>H154+H160</f>
        <v>54479</v>
      </c>
      <c r="I163" s="159">
        <f t="shared" ref="I163" si="86">G163-H163</f>
        <v>16813</v>
      </c>
      <c r="J163" s="97">
        <f>J154+J160</f>
        <v>63510</v>
      </c>
      <c r="K163" s="183">
        <f t="shared" ref="K163" si="87">+G163-J163</f>
        <v>7782</v>
      </c>
      <c r="L163" s="97">
        <f>L154+L160</f>
        <v>67591.350000000006</v>
      </c>
      <c r="M163" s="97">
        <v>61728.23</v>
      </c>
      <c r="N163" s="97">
        <f>N154+N160</f>
        <v>67931.76999999999</v>
      </c>
      <c r="O163" s="97">
        <f t="shared" ref="O163:V163" si="88">O154+O160</f>
        <v>57132</v>
      </c>
      <c r="P163" s="97">
        <f t="shared" si="88"/>
        <v>57299</v>
      </c>
      <c r="Q163" s="97">
        <f t="shared" si="88"/>
        <v>52477</v>
      </c>
      <c r="R163" s="97">
        <f t="shared" si="88"/>
        <v>38403</v>
      </c>
      <c r="S163" s="72">
        <f t="shared" si="88"/>
        <v>35930.61</v>
      </c>
      <c r="T163" s="55">
        <f t="shared" si="88"/>
        <v>48256</v>
      </c>
      <c r="U163" s="99">
        <f t="shared" si="88"/>
        <v>39644.18</v>
      </c>
      <c r="V163" s="99">
        <f t="shared" si="88"/>
        <v>44376.94</v>
      </c>
      <c r="W163" s="105"/>
      <c r="X163" s="72">
        <f>G163-H163</f>
        <v>16813</v>
      </c>
      <c r="Y163" s="74">
        <f>X163/H163</f>
        <v>0.30861432845683656</v>
      </c>
      <c r="Z163" s="105"/>
      <c r="AD163" s="29"/>
    </row>
    <row r="164" spans="2:30" ht="12.15" customHeight="1" x14ac:dyDescent="0.25">
      <c r="B164" s="2"/>
      <c r="C164" s="4"/>
      <c r="D164" s="100"/>
      <c r="E164" s="100"/>
      <c r="F164" s="100"/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93"/>
      <c r="X164" s="100"/>
      <c r="Y164" s="100"/>
      <c r="Z164" s="93"/>
      <c r="AD164" s="29"/>
    </row>
    <row r="165" spans="2:30" x14ac:dyDescent="0.25">
      <c r="B165" s="48"/>
      <c r="C165" s="49"/>
      <c r="D165" s="76"/>
      <c r="E165" s="76"/>
      <c r="F165" s="76"/>
      <c r="G165" s="76"/>
      <c r="H165" s="76"/>
      <c r="I165" s="76"/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  <c r="W165" s="77"/>
      <c r="X165" s="76"/>
      <c r="Y165" s="76"/>
      <c r="Z165" s="77"/>
      <c r="AD165" s="59"/>
    </row>
    <row r="166" spans="2:30" x14ac:dyDescent="0.25">
      <c r="B166" s="60" t="s">
        <v>105</v>
      </c>
      <c r="C166" s="61"/>
      <c r="D166" s="101"/>
      <c r="E166" s="101"/>
      <c r="F166" s="101"/>
      <c r="G166" s="101"/>
      <c r="H166" s="101"/>
      <c r="I166" s="101"/>
      <c r="J166" s="101"/>
      <c r="K166" s="101"/>
      <c r="L166" s="101"/>
      <c r="M166" s="101"/>
      <c r="N166" s="101"/>
      <c r="O166" s="101"/>
      <c r="P166" s="101"/>
      <c r="Q166" s="101"/>
      <c r="R166" s="101"/>
      <c r="S166" s="102"/>
      <c r="T166" s="101"/>
      <c r="U166" s="101"/>
      <c r="V166" s="101"/>
      <c r="W166" s="101"/>
      <c r="X166" s="101"/>
      <c r="Y166" s="101"/>
      <c r="Z166" s="10"/>
      <c r="AD166" s="59"/>
    </row>
    <row r="167" spans="2:30" ht="5.0999999999999996" customHeight="1" x14ac:dyDescent="0.25">
      <c r="B167" s="48"/>
      <c r="C167" s="49"/>
      <c r="D167" s="103"/>
      <c r="E167" s="103"/>
      <c r="F167" s="103"/>
      <c r="G167" s="103"/>
      <c r="H167" s="103"/>
      <c r="I167" s="103"/>
      <c r="J167" s="103"/>
      <c r="K167" s="103"/>
      <c r="L167" s="103"/>
      <c r="M167" s="103"/>
      <c r="N167" s="103"/>
      <c r="O167" s="103"/>
      <c r="P167" s="103"/>
      <c r="Q167" s="103"/>
      <c r="R167" s="103"/>
      <c r="S167" s="103"/>
      <c r="T167" s="103"/>
      <c r="U167" s="103"/>
      <c r="V167" s="103"/>
      <c r="W167" s="77"/>
      <c r="X167" s="103"/>
      <c r="Y167" s="103"/>
      <c r="Z167" s="77"/>
      <c r="AA167" s="1"/>
      <c r="AB167" s="1"/>
      <c r="AC167" s="1"/>
      <c r="AD167" s="59"/>
    </row>
    <row r="168" spans="2:30" x14ac:dyDescent="0.25">
      <c r="B168" s="64" t="s">
        <v>56</v>
      </c>
      <c r="C168" s="4"/>
      <c r="D168" s="14" t="str">
        <f>D3</f>
        <v>BUDGET 2022</v>
      </c>
      <c r="E168" s="14" t="str">
        <f>E3</f>
        <v>ACT 2021</v>
      </c>
      <c r="F168" s="147" t="s">
        <v>111</v>
      </c>
      <c r="G168" s="14" t="str">
        <f>G3</f>
        <v>BUDGET 2021</v>
      </c>
      <c r="H168" s="14" t="str">
        <f>H3</f>
        <v>ACTUAL 2020</v>
      </c>
      <c r="I168" s="147" t="s">
        <v>111</v>
      </c>
      <c r="J168" s="14" t="str">
        <f>J3</f>
        <v>ACTUAL 2019</v>
      </c>
      <c r="K168" s="14" t="str">
        <f>+K141</f>
        <v>B 2021 vs A2019</v>
      </c>
      <c r="L168" s="14" t="s">
        <v>3</v>
      </c>
      <c r="M168" s="14" t="s">
        <v>4</v>
      </c>
      <c r="N168" s="14" t="str">
        <f>N141</f>
        <v>ACTUAL 2016</v>
      </c>
      <c r="O168" s="14" t="str">
        <f>O3</f>
        <v>ACTUAL 2015</v>
      </c>
      <c r="P168" s="14" t="str">
        <f t="shared" ref="P168:V168" si="89">P141</f>
        <v>ACTUAL 2014</v>
      </c>
      <c r="Q168" s="14" t="str">
        <f t="shared" si="89"/>
        <v>ACTUAL 2013</v>
      </c>
      <c r="R168" s="14" t="str">
        <f t="shared" si="89"/>
        <v>ACTUAL 2012</v>
      </c>
      <c r="S168" s="14" t="str">
        <f t="shared" si="89"/>
        <v>ACTUAL 2011</v>
      </c>
      <c r="T168" s="14" t="str">
        <f t="shared" si="89"/>
        <v>ACTUAL 2010</v>
      </c>
      <c r="U168" s="14" t="str">
        <f t="shared" si="89"/>
        <v>ACTUAL 2009</v>
      </c>
      <c r="V168" s="14" t="str">
        <f t="shared" si="89"/>
        <v>ACTUAL 2008</v>
      </c>
      <c r="W168" s="10"/>
      <c r="X168" s="789" t="str">
        <f>X141</f>
        <v>Var Bud-21 Actual-20</v>
      </c>
      <c r="Y168" s="790"/>
      <c r="Z168" s="10"/>
      <c r="AD168" s="59"/>
    </row>
    <row r="169" spans="2:30" ht="12.15" customHeight="1" x14ac:dyDescent="0.25">
      <c r="B169" s="30" t="s">
        <v>106</v>
      </c>
      <c r="D169" s="81">
        <v>192000</v>
      </c>
      <c r="E169" s="81">
        <v>188395</v>
      </c>
      <c r="F169" s="148">
        <f t="shared" ref="F169:F172" si="90">D169-E169</f>
        <v>3605</v>
      </c>
      <c r="G169" s="81">
        <v>130000</v>
      </c>
      <c r="H169" s="81">
        <v>79614</v>
      </c>
      <c r="I169" s="148">
        <f t="shared" ref="I169:I172" si="91">G169-H169</f>
        <v>50386</v>
      </c>
      <c r="J169" s="81">
        <v>140979</v>
      </c>
      <c r="K169" s="181">
        <f t="shared" ref="K169:K172" si="92">+G169-J169</f>
        <v>-10979</v>
      </c>
      <c r="L169" s="81">
        <v>158118.21</v>
      </c>
      <c r="M169" s="81">
        <v>96251.91</v>
      </c>
      <c r="N169" s="81">
        <v>91681.5</v>
      </c>
      <c r="O169" s="81">
        <v>106117.5</v>
      </c>
      <c r="P169" s="81">
        <v>151287</v>
      </c>
      <c r="Q169" s="81">
        <v>146583</v>
      </c>
      <c r="R169" s="81">
        <v>146945</v>
      </c>
      <c r="S169" s="81">
        <v>135838.21</v>
      </c>
      <c r="T169" s="81">
        <v>124106.12</v>
      </c>
      <c r="U169" s="81">
        <v>93971.3</v>
      </c>
      <c r="V169" s="81">
        <v>145522.49</v>
      </c>
      <c r="W169" s="18"/>
      <c r="X169" s="82">
        <f>G169-H169</f>
        <v>50386</v>
      </c>
      <c r="Y169" s="84">
        <f>X169/H169</f>
        <v>0.63287863943527523</v>
      </c>
      <c r="Z169" s="18"/>
      <c r="AD169" s="21"/>
    </row>
    <row r="170" spans="2:30" ht="12.15" customHeight="1" x14ac:dyDescent="0.25">
      <c r="B170" s="30" t="s">
        <v>107</v>
      </c>
      <c r="D170" s="31">
        <v>49000</v>
      </c>
      <c r="E170" s="31">
        <v>43291</v>
      </c>
      <c r="F170" s="148">
        <f t="shared" si="90"/>
        <v>5709</v>
      </c>
      <c r="G170" s="31">
        <v>34000</v>
      </c>
      <c r="H170" s="31">
        <v>22545</v>
      </c>
      <c r="I170" s="148">
        <f t="shared" si="91"/>
        <v>11455</v>
      </c>
      <c r="J170" s="31">
        <v>94239</v>
      </c>
      <c r="K170" s="168">
        <f t="shared" si="92"/>
        <v>-60239</v>
      </c>
      <c r="L170" s="31">
        <v>63839.31</v>
      </c>
      <c r="M170" s="31">
        <v>53411.66</v>
      </c>
      <c r="N170" s="31">
        <v>108513.01000000002</v>
      </c>
      <c r="O170" s="31">
        <v>29994</v>
      </c>
      <c r="P170" s="31">
        <v>34504</v>
      </c>
      <c r="Q170" s="31">
        <v>40562</v>
      </c>
      <c r="R170" s="31">
        <v>37647</v>
      </c>
      <c r="S170" s="31">
        <v>72624.960000000006</v>
      </c>
      <c r="T170" s="31">
        <v>88607.75</v>
      </c>
      <c r="U170" s="31">
        <v>45402.91</v>
      </c>
      <c r="V170" s="31">
        <v>83097.33</v>
      </c>
      <c r="W170" s="18"/>
      <c r="X170" s="26">
        <f>G170-H170</f>
        <v>11455</v>
      </c>
      <c r="Y170" s="27">
        <f>X170/H170</f>
        <v>0.50809492126857392</v>
      </c>
      <c r="Z170" s="18"/>
      <c r="AD170" s="21"/>
    </row>
    <row r="171" spans="2:30" ht="12.15" customHeight="1" x14ac:dyDescent="0.25">
      <c r="B171" s="30" t="s">
        <v>108</v>
      </c>
      <c r="D171" s="31">
        <v>25000</v>
      </c>
      <c r="E171" s="31">
        <v>52006</v>
      </c>
      <c r="F171" s="150">
        <f t="shared" si="90"/>
        <v>-27006</v>
      </c>
      <c r="G171" s="31">
        <v>34250</v>
      </c>
      <c r="H171" s="31">
        <v>37387</v>
      </c>
      <c r="I171" s="150">
        <f t="shared" si="91"/>
        <v>-3137</v>
      </c>
      <c r="J171" s="31">
        <v>27670</v>
      </c>
      <c r="K171" s="168">
        <f t="shared" si="92"/>
        <v>6580</v>
      </c>
      <c r="L171" s="31">
        <v>36159.469999999994</v>
      </c>
      <c r="M171" s="31">
        <v>41952.970000000008</v>
      </c>
      <c r="N171" s="31">
        <v>38117.96</v>
      </c>
      <c r="O171" s="31">
        <v>48902</v>
      </c>
      <c r="P171" s="40">
        <v>41627</v>
      </c>
      <c r="Q171" s="31">
        <v>34495</v>
      </c>
      <c r="R171" s="31">
        <v>55619</v>
      </c>
      <c r="S171" s="31">
        <v>3447.36</v>
      </c>
      <c r="T171" s="31">
        <v>3447.36</v>
      </c>
      <c r="U171" s="31">
        <v>3447.36</v>
      </c>
      <c r="V171" s="31">
        <v>0</v>
      </c>
      <c r="W171" s="18"/>
      <c r="X171" s="26">
        <f>G171-H171</f>
        <v>-3137</v>
      </c>
      <c r="Y171" s="27">
        <f>X171/H171</f>
        <v>-8.3906170594056764E-2</v>
      </c>
      <c r="Z171" s="18"/>
      <c r="AD171" s="21"/>
    </row>
    <row r="172" spans="2:30" ht="12.15" customHeight="1" x14ac:dyDescent="0.25">
      <c r="B172" s="43" t="s">
        <v>67</v>
      </c>
      <c r="C172" s="4"/>
      <c r="D172" s="140">
        <f>SUM(D169:D171)</f>
        <v>266000</v>
      </c>
      <c r="E172" s="140">
        <f>SUM(E169:E171)</f>
        <v>283692</v>
      </c>
      <c r="F172" s="164">
        <f t="shared" si="90"/>
        <v>-17692</v>
      </c>
      <c r="G172" s="140">
        <f>SUM(G169:G171)</f>
        <v>198250</v>
      </c>
      <c r="H172" s="140">
        <f>SUM(H169:H171)</f>
        <v>139546</v>
      </c>
      <c r="I172" s="164">
        <f t="shared" si="91"/>
        <v>58704</v>
      </c>
      <c r="J172" s="140">
        <f>SUM(J169:J171)</f>
        <v>262888</v>
      </c>
      <c r="K172" s="190">
        <f t="shared" si="92"/>
        <v>-64638</v>
      </c>
      <c r="L172" s="140">
        <f>SUM(L169:L171)</f>
        <v>258116.99</v>
      </c>
      <c r="M172" s="140">
        <v>191616.54</v>
      </c>
      <c r="N172" s="140">
        <f>SUM(N169:N171)</f>
        <v>238312.47</v>
      </c>
      <c r="O172" s="140">
        <f>SUM(O169:O171)</f>
        <v>185013.5</v>
      </c>
      <c r="P172" s="140">
        <f t="shared" ref="P172:V172" si="93">SUM(P169:P171)</f>
        <v>227418</v>
      </c>
      <c r="Q172" s="140">
        <f t="shared" si="93"/>
        <v>221640</v>
      </c>
      <c r="R172" s="44">
        <f t="shared" si="93"/>
        <v>240211</v>
      </c>
      <c r="S172" s="141">
        <f t="shared" si="93"/>
        <v>211910.52999999997</v>
      </c>
      <c r="T172" s="44">
        <f t="shared" si="93"/>
        <v>216161.22999999998</v>
      </c>
      <c r="U172" s="142">
        <f t="shared" si="93"/>
        <v>142821.57</v>
      </c>
      <c r="V172" s="142">
        <f t="shared" si="93"/>
        <v>228619.82</v>
      </c>
      <c r="W172" s="25"/>
      <c r="X172" s="143">
        <f>G172-H172</f>
        <v>58704</v>
      </c>
      <c r="Y172" s="144">
        <f>X172/H172</f>
        <v>0.42067848594728618</v>
      </c>
      <c r="Z172" s="25"/>
      <c r="AD172" s="29"/>
    </row>
    <row r="173" spans="2:30" ht="5.0999999999999996" customHeight="1" x14ac:dyDescent="0.25">
      <c r="B173" s="48"/>
      <c r="C173" s="49"/>
      <c r="D173" s="76"/>
      <c r="E173" s="76"/>
      <c r="F173" s="76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77"/>
      <c r="X173" s="76"/>
      <c r="Y173" s="76"/>
      <c r="Z173" s="77"/>
      <c r="AD173" s="59"/>
    </row>
    <row r="174" spans="2:30" x14ac:dyDescent="0.25">
      <c r="B174" s="64" t="s">
        <v>68</v>
      </c>
      <c r="C174" s="4"/>
      <c r="D174" s="78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10"/>
      <c r="X174" s="78"/>
      <c r="Y174" s="9"/>
      <c r="Z174" s="10"/>
      <c r="AD174" s="59"/>
    </row>
    <row r="175" spans="2:30" ht="12.15" customHeight="1" x14ac:dyDescent="0.25">
      <c r="B175" s="104" t="s">
        <v>69</v>
      </c>
      <c r="C175" s="61"/>
      <c r="D175" s="97">
        <f>D172</f>
        <v>266000</v>
      </c>
      <c r="E175" s="97">
        <f>E172</f>
        <v>283692</v>
      </c>
      <c r="F175" s="158">
        <f t="shared" ref="F175" si="94">D175-E175</f>
        <v>-17692</v>
      </c>
      <c r="G175" s="97">
        <f>G172</f>
        <v>198250</v>
      </c>
      <c r="H175" s="97">
        <f>H172</f>
        <v>139546</v>
      </c>
      <c r="I175" s="158">
        <f t="shared" ref="I175" si="95">G175-H175</f>
        <v>58704</v>
      </c>
      <c r="J175" s="97">
        <f>J172</f>
        <v>262888</v>
      </c>
      <c r="K175" s="183">
        <f t="shared" ref="K175" si="96">+G175-J175</f>
        <v>-64638</v>
      </c>
      <c r="L175" s="97">
        <v>258116.99</v>
      </c>
      <c r="M175" s="97">
        <v>191616.54</v>
      </c>
      <c r="N175" s="97">
        <f>N172</f>
        <v>238312.47</v>
      </c>
      <c r="O175" s="97">
        <f>O172</f>
        <v>185013.5</v>
      </c>
      <c r="P175" s="97">
        <f t="shared" ref="P175:V175" si="97">P172</f>
        <v>227418</v>
      </c>
      <c r="Q175" s="97">
        <f t="shared" si="97"/>
        <v>221640</v>
      </c>
      <c r="R175" s="97">
        <f t="shared" si="97"/>
        <v>240211</v>
      </c>
      <c r="S175" s="72">
        <f t="shared" si="97"/>
        <v>211910.52999999997</v>
      </c>
      <c r="T175" s="55">
        <f t="shared" si="97"/>
        <v>216161.22999999998</v>
      </c>
      <c r="U175" s="99">
        <f t="shared" si="97"/>
        <v>142821.57</v>
      </c>
      <c r="V175" s="99">
        <f t="shared" si="97"/>
        <v>228619.82</v>
      </c>
      <c r="W175" s="121"/>
      <c r="X175" s="72">
        <f>G175-H175</f>
        <v>58704</v>
      </c>
      <c r="Y175" s="74">
        <f>X175/H175</f>
        <v>0.42067848594728618</v>
      </c>
      <c r="Z175" s="121"/>
      <c r="AD175" s="29"/>
    </row>
    <row r="176" spans="2:30" x14ac:dyDescent="0.25">
      <c r="B176" s="48"/>
      <c r="C176" s="49"/>
      <c r="D176" s="49"/>
      <c r="E176" s="49"/>
      <c r="F176" s="49"/>
      <c r="G176" s="49"/>
      <c r="H176" s="76"/>
      <c r="I176" s="76"/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7"/>
      <c r="X176" s="76"/>
      <c r="Y176" s="76"/>
      <c r="Z176" s="77"/>
      <c r="AD176" s="59"/>
    </row>
    <row r="177" spans="2:30" x14ac:dyDescent="0.25">
      <c r="B177" s="48"/>
      <c r="C177" s="49"/>
      <c r="D177" s="49"/>
      <c r="E177" s="49"/>
      <c r="F177" s="49"/>
      <c r="G177" s="49"/>
      <c r="H177" s="76"/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7"/>
      <c r="X177" s="76"/>
      <c r="Y177" s="76"/>
      <c r="Z177" s="77"/>
      <c r="AC177" s="76"/>
      <c r="AD177" s="59"/>
    </row>
    <row r="178" spans="2:30" x14ac:dyDescent="0.25">
      <c r="B178" s="48"/>
      <c r="C178" s="49"/>
      <c r="D178" s="49"/>
      <c r="E178" s="49"/>
      <c r="F178" s="49"/>
      <c r="G178" s="49"/>
      <c r="H178" s="76"/>
      <c r="I178" s="76"/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77"/>
      <c r="X178" s="76"/>
      <c r="Y178" s="76"/>
      <c r="Z178" s="77"/>
      <c r="AC178" s="76"/>
      <c r="AD178" s="59"/>
    </row>
    <row r="179" spans="2:30" ht="13.8" x14ac:dyDescent="0.3">
      <c r="B179" s="145"/>
      <c r="C179" s="145"/>
      <c r="D179" s="145"/>
      <c r="E179" s="145"/>
      <c r="F179" s="145"/>
      <c r="G179" s="145"/>
      <c r="H179" s="145"/>
      <c r="I179" s="145"/>
      <c r="J179" s="145"/>
      <c r="K179" s="145"/>
      <c r="L179" s="145"/>
      <c r="M179" s="145"/>
      <c r="N179" s="145"/>
      <c r="O179" s="145"/>
      <c r="P179" s="145"/>
      <c r="Q179" s="145"/>
      <c r="R179" s="145"/>
      <c r="S179" s="145"/>
      <c r="T179" s="145"/>
      <c r="U179" s="145"/>
      <c r="V179" s="145"/>
      <c r="W179" s="145"/>
      <c r="X179" s="76"/>
      <c r="Y179" s="76"/>
      <c r="Z179" s="77"/>
      <c r="AC179" s="76"/>
      <c r="AD179" s="59"/>
    </row>
  </sheetData>
  <mergeCells count="6">
    <mergeCell ref="X168:Y168"/>
    <mergeCell ref="X3:Y3"/>
    <mergeCell ref="X30:Y30"/>
    <mergeCell ref="X73:Y73"/>
    <mergeCell ref="X110:Y110"/>
    <mergeCell ref="X141:Y141"/>
  </mergeCells>
  <pageMargins left="0.7" right="0.7" top="0.75" bottom="0.75" header="0.3" footer="0.3"/>
  <pageSetup scale="50" fitToHeight="0" orientation="landscape" r:id="rId1"/>
  <rowBreaks count="3" manualBreakCount="3">
    <brk id="68" max="18" man="1"/>
    <brk id="136" max="16383" man="1"/>
    <brk id="175" min="1" max="21" man="1"/>
  </rowBreaks>
  <colBreaks count="1" manualBreakCount="1">
    <brk id="26" max="1048575" man="1"/>
  </col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3CC21-4B20-41DB-BE90-8C63D8C7C3DA}">
  <dimension ref="A1:W170"/>
  <sheetViews>
    <sheetView zoomScaleNormal="100" workbookViewId="0">
      <pane ySplit="3" topLeftCell="A4" activePane="bottomLeft" state="frozen"/>
      <selection pane="bottomLeft" activeCell="M3" sqref="M3"/>
    </sheetView>
  </sheetViews>
  <sheetFormatPr defaultRowHeight="14.4" x14ac:dyDescent="0.3"/>
  <cols>
    <col min="1" max="1" width="3.44140625" customWidth="1"/>
    <col min="2" max="2" width="28.109375" customWidth="1"/>
    <col min="3" max="3" width="3.6640625" customWidth="1"/>
    <col min="4" max="6" width="14.6640625" customWidth="1"/>
    <col min="7" max="8" width="14.6640625" hidden="1" customWidth="1"/>
    <col min="9" max="9" width="3.6640625" style="234" customWidth="1"/>
    <col min="10" max="10" width="11.109375" hidden="1" customWidth="1"/>
    <col min="11" max="11" width="0" style="298" hidden="1" customWidth="1"/>
    <col min="12" max="12" width="2.33203125" style="234" customWidth="1"/>
    <col min="13" max="13" width="16.5546875" customWidth="1"/>
    <col min="14" max="14" width="8.88671875" style="298"/>
    <col min="15" max="15" width="8.88671875" style="234"/>
    <col min="16" max="23" width="8.88671875" style="349"/>
  </cols>
  <sheetData>
    <row r="1" spans="1:14" x14ac:dyDescent="0.3">
      <c r="A1" s="1"/>
      <c r="B1" s="2" t="s">
        <v>468</v>
      </c>
      <c r="C1" s="3"/>
      <c r="D1" s="3"/>
      <c r="E1" s="3"/>
      <c r="F1" s="3"/>
      <c r="G1" s="3"/>
      <c r="H1" s="3"/>
      <c r="J1" s="234"/>
      <c r="K1" s="289"/>
      <c r="M1" s="234"/>
      <c r="N1" s="289"/>
    </row>
    <row r="2" spans="1:14" ht="15" thickBot="1" x14ac:dyDescent="0.35">
      <c r="A2" s="7"/>
      <c r="B2" s="7"/>
      <c r="C2" s="8"/>
      <c r="D2" s="8"/>
      <c r="E2" s="8"/>
      <c r="F2" s="8"/>
      <c r="G2" s="8"/>
      <c r="H2" s="8"/>
      <c r="J2" s="234"/>
      <c r="K2" s="289"/>
      <c r="M2" s="234"/>
      <c r="N2" s="289"/>
    </row>
    <row r="3" spans="1:14" ht="15" thickBot="1" x14ac:dyDescent="0.35">
      <c r="A3" s="7"/>
      <c r="B3" s="207" t="s">
        <v>0</v>
      </c>
      <c r="C3" s="8"/>
      <c r="D3" s="308" t="s">
        <v>467</v>
      </c>
      <c r="E3" s="192" t="s">
        <v>378</v>
      </c>
      <c r="F3" s="191" t="s">
        <v>371</v>
      </c>
      <c r="G3" s="351" t="s">
        <v>231</v>
      </c>
      <c r="H3" s="351" t="s">
        <v>144</v>
      </c>
      <c r="J3" s="235" t="s">
        <v>145</v>
      </c>
      <c r="K3" s="290" t="s">
        <v>142</v>
      </c>
      <c r="M3" s="235" t="s">
        <v>469</v>
      </c>
      <c r="N3" s="290" t="s">
        <v>142</v>
      </c>
    </row>
    <row r="4" spans="1:14" ht="15" thickBot="1" x14ac:dyDescent="0.35">
      <c r="A4" s="1"/>
      <c r="B4" s="1"/>
      <c r="C4" s="3"/>
      <c r="D4" s="5"/>
      <c r="E4" s="5"/>
      <c r="F4" s="5"/>
      <c r="G4" s="5"/>
      <c r="H4" s="5"/>
      <c r="J4" s="6"/>
      <c r="K4" s="291"/>
      <c r="M4" s="6"/>
      <c r="N4" s="291"/>
    </row>
    <row r="5" spans="1:14" x14ac:dyDescent="0.3">
      <c r="A5" s="1"/>
      <c r="B5" s="202" t="s">
        <v>15</v>
      </c>
      <c r="C5" s="3"/>
      <c r="D5" s="372">
        <v>3553334.92</v>
      </c>
      <c r="E5" s="249">
        <v>3154524.1599999997</v>
      </c>
      <c r="F5" s="249">
        <v>3364420</v>
      </c>
      <c r="G5" s="249">
        <v>3020537.4</v>
      </c>
      <c r="H5" s="249">
        <f>+'NOT TO USE.'!E5</f>
        <v>2730915.36</v>
      </c>
      <c r="J5" s="248">
        <f>D5-F5</f>
        <v>188914.91999999993</v>
      </c>
      <c r="K5" s="285">
        <f>+J5/F5</f>
        <v>5.61508135131761E-2</v>
      </c>
      <c r="M5" s="248">
        <f>D5-E5</f>
        <v>398810.76000000024</v>
      </c>
      <c r="N5" s="285">
        <f>+M5/E5</f>
        <v>0.12642501365404038</v>
      </c>
    </row>
    <row r="6" spans="1:14" x14ac:dyDescent="0.3">
      <c r="A6" s="2"/>
      <c r="B6" s="203" t="s">
        <v>16</v>
      </c>
      <c r="C6" s="4"/>
      <c r="D6" s="373">
        <f>SUM(D5)</f>
        <v>3553334.92</v>
      </c>
      <c r="E6" s="250">
        <f>SUM(E5)</f>
        <v>3154524.1599999997</v>
      </c>
      <c r="F6" s="250">
        <f>SUM(F5)</f>
        <v>3364420</v>
      </c>
      <c r="G6" s="250">
        <v>3020537.4</v>
      </c>
      <c r="H6" s="250">
        <f>+H5</f>
        <v>2730915.36</v>
      </c>
      <c r="J6" s="237">
        <f>D6-F6</f>
        <v>188914.91999999993</v>
      </c>
      <c r="K6" s="286">
        <f>+J6/F6</f>
        <v>5.61508135131761E-2</v>
      </c>
      <c r="M6" s="237">
        <f>D6-E6</f>
        <v>398810.76000000024</v>
      </c>
      <c r="N6" s="286">
        <f>+M6/E6</f>
        <v>0.12642501365404038</v>
      </c>
    </row>
    <row r="7" spans="1:14" x14ac:dyDescent="0.3">
      <c r="A7" s="1"/>
      <c r="B7" s="204"/>
      <c r="C7" s="3"/>
      <c r="D7" s="213"/>
      <c r="E7" s="251"/>
      <c r="F7" s="251"/>
      <c r="G7" s="251"/>
      <c r="H7" s="251"/>
      <c r="J7" s="238">
        <f>+J6/F6</f>
        <v>5.61508135131761E-2</v>
      </c>
      <c r="K7" s="287"/>
      <c r="M7" s="309">
        <f>+M6/E6</f>
        <v>0.12642501365404038</v>
      </c>
      <c r="N7" s="287"/>
    </row>
    <row r="8" spans="1:14" x14ac:dyDescent="0.3">
      <c r="A8" s="1"/>
      <c r="B8" s="204" t="s">
        <v>17</v>
      </c>
      <c r="C8" s="3"/>
      <c r="D8" s="213">
        <v>1300689.8300000003</v>
      </c>
      <c r="E8" s="251">
        <v>1174837.2537860002</v>
      </c>
      <c r="F8" s="251">
        <v>1223614</v>
      </c>
      <c r="G8" s="251">
        <v>1175693.5</v>
      </c>
      <c r="H8" s="251">
        <f>+'NOT TO USE.'!E8</f>
        <v>1061411</v>
      </c>
      <c r="J8" s="237">
        <f t="shared" ref="J8:J13" si="0">D8-F8</f>
        <v>77075.830000000307</v>
      </c>
      <c r="K8" s="286">
        <f t="shared" ref="K8:K13" si="1">+J8/F8</f>
        <v>6.2990313938873124E-2</v>
      </c>
      <c r="M8" s="237">
        <f t="shared" ref="M8:M13" si="2">D8-E8</f>
        <v>125852.57621400012</v>
      </c>
      <c r="N8" s="286">
        <f t="shared" ref="N8:N13" si="3">+M8/E8</f>
        <v>0.10712341288840718</v>
      </c>
    </row>
    <row r="9" spans="1:14" x14ac:dyDescent="0.3">
      <c r="A9" s="1"/>
      <c r="B9" s="204" t="s">
        <v>18</v>
      </c>
      <c r="C9" s="3"/>
      <c r="D9" s="213">
        <v>1380588.2000000002</v>
      </c>
      <c r="E9" s="251">
        <v>1093846.9984637713</v>
      </c>
      <c r="F9" s="251">
        <v>1142249</v>
      </c>
      <c r="G9" s="251">
        <v>1124972.5</v>
      </c>
      <c r="H9" s="251">
        <f>+'NOT TO USE.'!E9</f>
        <v>917709.14999999991</v>
      </c>
      <c r="J9" s="237">
        <f t="shared" si="0"/>
        <v>238339.20000000019</v>
      </c>
      <c r="K9" s="286">
        <f t="shared" si="1"/>
        <v>0.20865783204887917</v>
      </c>
      <c r="M9" s="237">
        <f t="shared" si="2"/>
        <v>286741.20153622888</v>
      </c>
      <c r="N9" s="286">
        <f t="shared" si="3"/>
        <v>0.26214013654463197</v>
      </c>
    </row>
    <row r="10" spans="1:14" x14ac:dyDescent="0.3">
      <c r="A10" s="1"/>
      <c r="B10" s="204" t="s">
        <v>19</v>
      </c>
      <c r="C10" s="3"/>
      <c r="D10" s="213">
        <v>421533.00999999995</v>
      </c>
      <c r="E10" s="251">
        <v>412743.19206849387</v>
      </c>
      <c r="F10" s="251">
        <v>505210</v>
      </c>
      <c r="G10" s="251">
        <v>466558.88400000002</v>
      </c>
      <c r="H10" s="251">
        <f>+'NOT TO USE.'!E10</f>
        <v>364865.12866644404</v>
      </c>
      <c r="J10" s="237">
        <f t="shared" si="0"/>
        <v>-83676.990000000049</v>
      </c>
      <c r="K10" s="286">
        <f t="shared" si="1"/>
        <v>-0.1656281348350192</v>
      </c>
      <c r="M10" s="237">
        <f t="shared" si="2"/>
        <v>8789.8179315060843</v>
      </c>
      <c r="N10" s="286">
        <f t="shared" si="3"/>
        <v>2.1296094279484645E-2</v>
      </c>
    </row>
    <row r="11" spans="1:14" x14ac:dyDescent="0.3">
      <c r="A11" s="1"/>
      <c r="B11" s="204" t="s">
        <v>20</v>
      </c>
      <c r="C11" s="3"/>
      <c r="D11" s="213">
        <v>86381.209999999992</v>
      </c>
      <c r="E11" s="251">
        <v>88151.837449999992</v>
      </c>
      <c r="F11" s="251">
        <v>95524</v>
      </c>
      <c r="G11" s="251">
        <v>89624.37000000001</v>
      </c>
      <c r="H11" s="251">
        <f>+'NOT TO USE.'!E11</f>
        <v>74251.5</v>
      </c>
      <c r="J11" s="237">
        <f t="shared" si="0"/>
        <v>-9142.7900000000081</v>
      </c>
      <c r="K11" s="286">
        <f t="shared" si="1"/>
        <v>-9.57119676730456E-2</v>
      </c>
      <c r="M11" s="237">
        <f t="shared" si="2"/>
        <v>-1770.62745</v>
      </c>
      <c r="N11" s="286">
        <f t="shared" si="3"/>
        <v>-2.008610939056495E-2</v>
      </c>
    </row>
    <row r="12" spans="1:14" ht="15" thickBot="1" x14ac:dyDescent="0.35">
      <c r="A12" s="1"/>
      <c r="B12" s="205" t="s">
        <v>21</v>
      </c>
      <c r="C12" s="3"/>
      <c r="D12" s="269">
        <v>392190.56000000006</v>
      </c>
      <c r="E12" s="252">
        <v>384937</v>
      </c>
      <c r="F12" s="252">
        <v>389769</v>
      </c>
      <c r="G12" s="252">
        <v>337788.44</v>
      </c>
      <c r="H12" s="252">
        <f>+'NOT TO USE.'!E12</f>
        <v>283692</v>
      </c>
      <c r="J12" s="246">
        <f t="shared" si="0"/>
        <v>2421.5600000000559</v>
      </c>
      <c r="K12" s="288">
        <f t="shared" si="1"/>
        <v>6.2128080991563101E-3</v>
      </c>
      <c r="M12" s="246">
        <f t="shared" si="2"/>
        <v>7253.5600000000559</v>
      </c>
      <c r="N12" s="288">
        <f t="shared" si="3"/>
        <v>1.8843499066081088E-2</v>
      </c>
    </row>
    <row r="13" spans="1:14" x14ac:dyDescent="0.3">
      <c r="A13" s="2"/>
      <c r="B13" s="203" t="s">
        <v>22</v>
      </c>
      <c r="C13" s="4"/>
      <c r="D13" s="374">
        <f>SUM(D8:D12)</f>
        <v>3581382.81</v>
      </c>
      <c r="E13" s="253">
        <f>SUM(E8:E12)</f>
        <v>3154516.2817682656</v>
      </c>
      <c r="F13" s="253">
        <f>SUM(F8:F12)</f>
        <v>3356366</v>
      </c>
      <c r="G13" s="253">
        <v>3194637.6940000001</v>
      </c>
      <c r="H13" s="253">
        <f>SUM(H8:H12)</f>
        <v>2701928.7786664441</v>
      </c>
      <c r="J13" s="239">
        <f t="shared" si="0"/>
        <v>225016.81000000006</v>
      </c>
      <c r="K13" s="287">
        <f t="shared" si="1"/>
        <v>6.7041797587033131E-2</v>
      </c>
      <c r="M13" s="239">
        <f t="shared" si="2"/>
        <v>426866.52823173441</v>
      </c>
      <c r="N13" s="287">
        <f t="shared" si="3"/>
        <v>0.135319171024362</v>
      </c>
    </row>
    <row r="14" spans="1:14" x14ac:dyDescent="0.3">
      <c r="A14" s="1"/>
      <c r="B14" s="204"/>
      <c r="C14" s="3"/>
      <c r="D14" s="213"/>
      <c r="E14" s="251"/>
      <c r="F14" s="251"/>
      <c r="G14" s="251"/>
      <c r="H14" s="251"/>
      <c r="J14" s="240">
        <f>+J13/F13</f>
        <v>6.7041797587033131E-2</v>
      </c>
      <c r="K14" s="286"/>
      <c r="M14" s="310">
        <f>+M13/E13</f>
        <v>0.135319171024362</v>
      </c>
      <c r="N14" s="286"/>
    </row>
    <row r="15" spans="1:14" x14ac:dyDescent="0.3">
      <c r="A15" s="1"/>
      <c r="B15" s="204" t="s">
        <v>23</v>
      </c>
      <c r="C15" s="3"/>
      <c r="D15" s="213">
        <v>-1202228</v>
      </c>
      <c r="E15" s="251">
        <v>-1138588.78</v>
      </c>
      <c r="F15" s="251">
        <f>-1138589</f>
        <v>-1138589</v>
      </c>
      <c r="G15" s="251">
        <v>-1140358</v>
      </c>
      <c r="H15" s="251">
        <f>'NOT TO USE.'!E15</f>
        <v>-956333</v>
      </c>
      <c r="J15" s="237">
        <f t="shared" ref="J15:J25" si="4">D15-F15</f>
        <v>-63639</v>
      </c>
      <c r="K15" s="286">
        <f>+J15/F15</f>
        <v>5.5892863886793216E-2</v>
      </c>
      <c r="M15" s="237">
        <f t="shared" ref="M15:M25" si="5">D15-E15</f>
        <v>-63639.219999999972</v>
      </c>
      <c r="N15" s="286">
        <f>+M15/E15</f>
        <v>5.589306790815203E-2</v>
      </c>
    </row>
    <row r="16" spans="1:14" x14ac:dyDescent="0.3">
      <c r="A16" s="1"/>
      <c r="B16" s="204" t="s">
        <v>24</v>
      </c>
      <c r="C16" s="3"/>
      <c r="D16" s="213">
        <v>1202228</v>
      </c>
      <c r="E16" s="251">
        <v>1138588.78</v>
      </c>
      <c r="F16" s="251">
        <v>1138589</v>
      </c>
      <c r="G16" s="251">
        <v>1140358</v>
      </c>
      <c r="H16" s="251">
        <f>'NOT TO USE.'!E16</f>
        <v>956333</v>
      </c>
      <c r="J16" s="237">
        <f t="shared" si="4"/>
        <v>63639</v>
      </c>
      <c r="K16" s="286">
        <f>+J16/F16</f>
        <v>5.5892863886793216E-2</v>
      </c>
      <c r="M16" s="237">
        <f t="shared" si="5"/>
        <v>63639.219999999972</v>
      </c>
      <c r="N16" s="286">
        <f>+M16/E16</f>
        <v>5.589306790815203E-2</v>
      </c>
    </row>
    <row r="17" spans="1:14" ht="15" thickBot="1" x14ac:dyDescent="0.35">
      <c r="A17" s="1"/>
      <c r="B17" s="205" t="s">
        <v>25</v>
      </c>
      <c r="C17" s="3"/>
      <c r="D17" s="213"/>
      <c r="E17" s="251"/>
      <c r="F17" s="251"/>
      <c r="G17" s="251"/>
      <c r="H17" s="251"/>
      <c r="J17" s="246">
        <f t="shared" si="4"/>
        <v>0</v>
      </c>
      <c r="K17" s="288"/>
      <c r="M17" s="246">
        <f t="shared" si="5"/>
        <v>0</v>
      </c>
      <c r="N17" s="288"/>
    </row>
    <row r="18" spans="1:14" x14ac:dyDescent="0.3">
      <c r="A18" s="2"/>
      <c r="B18" s="203" t="s">
        <v>26</v>
      </c>
      <c r="C18" s="4"/>
      <c r="D18" s="374">
        <f>SUM(D15:D17)</f>
        <v>0</v>
      </c>
      <c r="E18" s="253">
        <f>SUM(D15:D17)</f>
        <v>0</v>
      </c>
      <c r="F18" s="253">
        <f>SUM(F15:F17)</f>
        <v>0</v>
      </c>
      <c r="G18" s="253">
        <v>0</v>
      </c>
      <c r="H18" s="253">
        <f>SUM(F15:F17)</f>
        <v>0</v>
      </c>
      <c r="J18" s="237">
        <f t="shared" si="4"/>
        <v>0</v>
      </c>
      <c r="K18" s="286"/>
      <c r="M18" s="237">
        <f t="shared" si="5"/>
        <v>0</v>
      </c>
      <c r="N18" s="286"/>
    </row>
    <row r="19" spans="1:14" x14ac:dyDescent="0.3">
      <c r="A19" s="1"/>
      <c r="B19" s="204"/>
      <c r="C19" s="3"/>
      <c r="D19" s="213"/>
      <c r="E19" s="251"/>
      <c r="F19" s="251"/>
      <c r="G19" s="251"/>
      <c r="H19" s="251"/>
      <c r="J19" s="237">
        <f t="shared" si="4"/>
        <v>0</v>
      </c>
      <c r="K19" s="286"/>
      <c r="M19" s="237">
        <f t="shared" si="5"/>
        <v>0</v>
      </c>
      <c r="N19" s="286"/>
    </row>
    <row r="20" spans="1:14" x14ac:dyDescent="0.3">
      <c r="A20" s="1"/>
      <c r="B20" s="204" t="s">
        <v>27</v>
      </c>
      <c r="C20" s="3"/>
      <c r="D20" s="375">
        <v>-197484</v>
      </c>
      <c r="E20" s="255">
        <v>-197484</v>
      </c>
      <c r="F20" s="255">
        <f>-197478</f>
        <v>-197478</v>
      </c>
      <c r="G20" s="255">
        <v>-193608</v>
      </c>
      <c r="H20" s="255">
        <f>+'NOT TO USE.'!E20</f>
        <v>-145206</v>
      </c>
      <c r="J20" s="237">
        <f t="shared" si="4"/>
        <v>-6</v>
      </c>
      <c r="K20" s="286">
        <f>+J20/F20</f>
        <v>3.0383131285510285E-5</v>
      </c>
      <c r="M20" s="237">
        <f t="shared" si="5"/>
        <v>0</v>
      </c>
      <c r="N20" s="286">
        <f>+M20/E20</f>
        <v>0</v>
      </c>
    </row>
    <row r="21" spans="1:14" x14ac:dyDescent="0.3">
      <c r="A21" s="1"/>
      <c r="B21" s="204" t="s">
        <v>28</v>
      </c>
      <c r="C21" s="3"/>
      <c r="D21" s="375">
        <v>-329172</v>
      </c>
      <c r="E21" s="255">
        <v>-329172</v>
      </c>
      <c r="F21" s="255">
        <f>-329176</f>
        <v>-329176</v>
      </c>
      <c r="G21" s="255">
        <v>-322680</v>
      </c>
      <c r="H21" s="255">
        <f>+'NOT TO USE.'!E21</f>
        <v>-242010</v>
      </c>
      <c r="J21" s="237">
        <f t="shared" si="4"/>
        <v>4</v>
      </c>
      <c r="K21" s="286">
        <f>+J21/F21</f>
        <v>-1.2151554183780105E-5</v>
      </c>
      <c r="M21" s="237">
        <f t="shared" si="5"/>
        <v>0</v>
      </c>
      <c r="N21" s="286">
        <f>+M21/E21</f>
        <v>0</v>
      </c>
    </row>
    <row r="22" spans="1:14" ht="15" thickBot="1" x14ac:dyDescent="0.35">
      <c r="A22" s="1"/>
      <c r="B22" s="205" t="s">
        <v>29</v>
      </c>
      <c r="C22" s="3"/>
      <c r="D22" s="376">
        <v>526656</v>
      </c>
      <c r="E22" s="256">
        <v>526656</v>
      </c>
      <c r="F22" s="256">
        <f>526654</f>
        <v>526654</v>
      </c>
      <c r="G22" s="256">
        <v>516288</v>
      </c>
      <c r="H22" s="256">
        <f>+'NOT TO USE.'!E22</f>
        <v>387216</v>
      </c>
      <c r="J22" s="246">
        <f t="shared" si="4"/>
        <v>2</v>
      </c>
      <c r="K22" s="288">
        <f>+J22/F22</f>
        <v>3.7975596881443985E-6</v>
      </c>
      <c r="M22" s="246">
        <f t="shared" si="5"/>
        <v>0</v>
      </c>
      <c r="N22" s="288">
        <f>+M22/E22</f>
        <v>0</v>
      </c>
    </row>
    <row r="23" spans="1:14" x14ac:dyDescent="0.3">
      <c r="A23" s="2"/>
      <c r="B23" s="203" t="s">
        <v>30</v>
      </c>
      <c r="C23" s="4"/>
      <c r="D23" s="377">
        <f>SUM(D20:D22)</f>
        <v>0</v>
      </c>
      <c r="E23" s="24">
        <f>SUM(D20:D22)</f>
        <v>0</v>
      </c>
      <c r="F23" s="196">
        <f>SUM(F20:F22)</f>
        <v>0</v>
      </c>
      <c r="G23" s="399">
        <v>0</v>
      </c>
      <c r="H23" s="197">
        <f>SUM(F20:F22)</f>
        <v>0</v>
      </c>
      <c r="J23" s="237">
        <f t="shared" si="4"/>
        <v>0</v>
      </c>
      <c r="K23" s="286"/>
      <c r="M23" s="237">
        <f t="shared" si="5"/>
        <v>0</v>
      </c>
      <c r="N23" s="286"/>
    </row>
    <row r="24" spans="1:14" x14ac:dyDescent="0.3">
      <c r="A24" s="1"/>
      <c r="B24" s="204"/>
      <c r="C24" s="3"/>
      <c r="D24" s="198"/>
      <c r="E24" s="39"/>
      <c r="F24" s="198"/>
      <c r="G24" s="39"/>
      <c r="H24" s="199"/>
      <c r="J24" s="237">
        <f t="shared" si="4"/>
        <v>0</v>
      </c>
      <c r="K24" s="286"/>
      <c r="M24" s="237">
        <f t="shared" si="5"/>
        <v>0</v>
      </c>
      <c r="N24" s="286"/>
    </row>
    <row r="25" spans="1:14" ht="15" thickBot="1" x14ac:dyDescent="0.35">
      <c r="A25" s="1"/>
      <c r="B25" s="206" t="s">
        <v>31</v>
      </c>
      <c r="C25" s="4"/>
      <c r="D25" s="228">
        <f>D6-D13-D18-D23</f>
        <v>-28047.89000000013</v>
      </c>
      <c r="E25" s="201">
        <f>E6-E13-E18-E23</f>
        <v>7.8782317340373993</v>
      </c>
      <c r="F25" s="200">
        <f>F6-F13-F18-F23</f>
        <v>8054</v>
      </c>
      <c r="G25" s="400">
        <v>-174100.29400000023</v>
      </c>
      <c r="H25" s="378">
        <f>H6-H13-H18-H23</f>
        <v>28986.581333555747</v>
      </c>
      <c r="J25" s="241">
        <f t="shared" si="4"/>
        <v>-36101.89000000013</v>
      </c>
      <c r="K25" s="292">
        <f>+J25/F25</f>
        <v>-4.4824795132853401</v>
      </c>
      <c r="M25" s="241">
        <f t="shared" si="5"/>
        <v>-28055.768231734168</v>
      </c>
      <c r="N25" s="292"/>
    </row>
    <row r="26" spans="1:14" x14ac:dyDescent="0.3">
      <c r="A26" s="1"/>
      <c r="B26" s="2"/>
      <c r="C26" s="4"/>
      <c r="D26" s="47"/>
      <c r="E26" s="47"/>
      <c r="F26" s="47"/>
      <c r="G26" s="47"/>
      <c r="H26" s="47"/>
      <c r="J26" s="231"/>
      <c r="K26" s="231"/>
      <c r="M26" s="231"/>
      <c r="N26" s="231"/>
    </row>
    <row r="27" spans="1:14" ht="15" thickBot="1" x14ac:dyDescent="0.35">
      <c r="A27" s="1"/>
      <c r="B27" s="48"/>
      <c r="C27" s="49"/>
      <c r="D27" s="3"/>
      <c r="E27" s="3"/>
      <c r="F27" s="3"/>
      <c r="G27" s="3"/>
      <c r="H27" s="3"/>
      <c r="J27" s="3"/>
      <c r="K27" s="293"/>
      <c r="M27" s="3"/>
      <c r="N27" s="293"/>
    </row>
    <row r="28" spans="1:14" ht="15" thickBot="1" x14ac:dyDescent="0.35">
      <c r="A28" s="1"/>
      <c r="B28" s="208" t="s">
        <v>35</v>
      </c>
      <c r="C28" s="4"/>
      <c r="D28" s="62"/>
      <c r="E28" s="62"/>
      <c r="F28" s="62"/>
      <c r="G28" s="62"/>
      <c r="H28" s="62"/>
      <c r="J28" s="62"/>
      <c r="K28" s="294"/>
      <c r="M28" s="62"/>
      <c r="N28" s="294"/>
    </row>
    <row r="29" spans="1:14" ht="15" thickBot="1" x14ac:dyDescent="0.35">
      <c r="A29" s="1"/>
      <c r="B29" s="48"/>
      <c r="C29" s="49"/>
      <c r="D29" s="59"/>
      <c r="E29" s="59"/>
      <c r="F29" s="59"/>
      <c r="G29" s="59"/>
      <c r="H29" s="59"/>
      <c r="J29" s="59"/>
      <c r="K29" s="295"/>
      <c r="M29" s="59"/>
      <c r="N29" s="295"/>
    </row>
    <row r="30" spans="1:14" ht="15" thickBot="1" x14ac:dyDescent="0.35">
      <c r="A30" s="1"/>
      <c r="B30" s="209" t="s">
        <v>37</v>
      </c>
      <c r="C30" s="4"/>
      <c r="D30" s="191" t="str">
        <f>D3</f>
        <v>ACTUAL 2024</v>
      </c>
      <c r="E30" s="191" t="str">
        <f>E3</f>
        <v>BUDGET 2024</v>
      </c>
      <c r="F30" s="191" t="str">
        <f t="shared" ref="F30:H30" si="6">F3</f>
        <v>ACTUAL 2023</v>
      </c>
      <c r="G30" s="308" t="s">
        <v>231</v>
      </c>
      <c r="H30" s="351" t="str">
        <f t="shared" si="6"/>
        <v>ACTUAL 2021</v>
      </c>
      <c r="J30" s="235" t="str">
        <f>+J$3</f>
        <v>B 2022 vs Act 2021</v>
      </c>
      <c r="K30" s="311" t="str">
        <f>+K$3</f>
        <v>%</v>
      </c>
      <c r="M30" s="235" t="str">
        <f>+M$3</f>
        <v>Act 2024 vs Bud 2024</v>
      </c>
      <c r="N30" s="311" t="str">
        <f>+N$3</f>
        <v>%</v>
      </c>
    </row>
    <row r="31" spans="1:14" x14ac:dyDescent="0.3">
      <c r="A31" s="1"/>
      <c r="B31" s="204" t="s">
        <v>38</v>
      </c>
      <c r="C31" s="3"/>
      <c r="D31" s="213">
        <v>2638335.15</v>
      </c>
      <c r="E31" s="251">
        <v>2623869</v>
      </c>
      <c r="F31" s="251">
        <v>2724978</v>
      </c>
      <c r="G31" s="251">
        <v>2471484</v>
      </c>
      <c r="H31" s="251">
        <f>'NOT TO USE.'!E31</f>
        <v>2286117</v>
      </c>
      <c r="J31" s="299">
        <f t="shared" ref="J31:J41" si="7">D31-F31</f>
        <v>-86642.850000000093</v>
      </c>
      <c r="K31" s="302">
        <f>+J31/F31</f>
        <v>-3.1795797984424126E-2</v>
      </c>
      <c r="M31" s="299">
        <f t="shared" ref="M31:M41" si="8">D31-E31</f>
        <v>14466.149999999907</v>
      </c>
      <c r="N31" s="302">
        <f>+M31/E31</f>
        <v>5.5132897259733268E-3</v>
      </c>
    </row>
    <row r="32" spans="1:14" x14ac:dyDescent="0.3">
      <c r="A32" s="1"/>
      <c r="B32" s="204" t="s">
        <v>39</v>
      </c>
      <c r="C32" s="3"/>
      <c r="D32" s="213">
        <v>77136</v>
      </c>
      <c r="E32" s="251">
        <v>74307.60000000002</v>
      </c>
      <c r="F32" s="251">
        <v>77171</v>
      </c>
      <c r="G32" s="251">
        <v>70140</v>
      </c>
      <c r="H32" s="251">
        <f>'NOT TO USE.'!E32</f>
        <v>70140</v>
      </c>
      <c r="J32" s="299">
        <f t="shared" si="7"/>
        <v>-35</v>
      </c>
      <c r="K32" s="302">
        <f>+J32/F32</f>
        <v>-4.53538246232393E-4</v>
      </c>
      <c r="M32" s="299">
        <f t="shared" si="8"/>
        <v>2828.3999999999796</v>
      </c>
      <c r="N32" s="302">
        <f>+M32/E32</f>
        <v>3.8063401320995144E-2</v>
      </c>
    </row>
    <row r="33" spans="1:14" x14ac:dyDescent="0.3">
      <c r="A33" s="1"/>
      <c r="B33" s="204" t="s">
        <v>40</v>
      </c>
      <c r="C33" s="3"/>
      <c r="D33" s="213">
        <f>'NOT TO USE.'!D33</f>
        <v>0</v>
      </c>
      <c r="E33" s="251">
        <f>'NOT TO USE.'!D33</f>
        <v>0</v>
      </c>
      <c r="F33" s="251"/>
      <c r="G33" s="251">
        <v>0</v>
      </c>
      <c r="H33" s="251">
        <f>'NOT TO USE.'!E33</f>
        <v>0</v>
      </c>
      <c r="J33" s="299">
        <f t="shared" si="7"/>
        <v>0</v>
      </c>
      <c r="K33" s="302"/>
      <c r="M33" s="299">
        <f t="shared" si="8"/>
        <v>0</v>
      </c>
      <c r="N33" s="302"/>
    </row>
    <row r="34" spans="1:14" x14ac:dyDescent="0.3">
      <c r="A34" s="1"/>
      <c r="B34" s="204" t="s">
        <v>41</v>
      </c>
      <c r="C34" s="3"/>
      <c r="D34" s="213">
        <v>739262.40999999992</v>
      </c>
      <c r="E34" s="251">
        <v>364028.00999999995</v>
      </c>
      <c r="F34" s="251">
        <v>445719</v>
      </c>
      <c r="G34" s="251">
        <v>368600</v>
      </c>
      <c r="H34" s="251">
        <f>'NOT TO USE.'!E34</f>
        <v>285641.89</v>
      </c>
      <c r="J34" s="299">
        <f t="shared" si="7"/>
        <v>293543.40999999992</v>
      </c>
      <c r="K34" s="302">
        <f>+J34/F34</f>
        <v>0.65858401818185874</v>
      </c>
      <c r="M34" s="299">
        <f t="shared" si="8"/>
        <v>375234.39999999997</v>
      </c>
      <c r="N34" s="302">
        <f>+M34/E34</f>
        <v>1.0307844168364957</v>
      </c>
    </row>
    <row r="35" spans="1:14" x14ac:dyDescent="0.3">
      <c r="A35" s="1"/>
      <c r="B35" s="204" t="s">
        <v>42</v>
      </c>
      <c r="C35" s="3"/>
      <c r="D35" s="213">
        <v>14487.29</v>
      </c>
      <c r="E35" s="251">
        <v>15186.05</v>
      </c>
      <c r="F35" s="251">
        <v>19288.41</v>
      </c>
      <c r="G35" s="251">
        <v>20497.260000000002</v>
      </c>
      <c r="H35" s="251">
        <f>'NOT TO USE.'!E35</f>
        <v>18627.13</v>
      </c>
      <c r="J35" s="299">
        <f t="shared" si="7"/>
        <v>-4801.119999999999</v>
      </c>
      <c r="K35" s="302">
        <f>+J35/F35</f>
        <v>-0.24891217057289838</v>
      </c>
      <c r="M35" s="299">
        <f t="shared" si="8"/>
        <v>-698.7599999999984</v>
      </c>
      <c r="N35" s="302">
        <f>+M35/E35</f>
        <v>-4.6013281926504813E-2</v>
      </c>
    </row>
    <row r="36" spans="1:14" x14ac:dyDescent="0.3">
      <c r="A36" s="1"/>
      <c r="B36" s="204" t="s">
        <v>43</v>
      </c>
      <c r="C36" s="3"/>
      <c r="D36" s="213">
        <v>50931.51999999999</v>
      </c>
      <c r="E36" s="251">
        <v>48582.5</v>
      </c>
      <c r="F36" s="251">
        <v>64156.679999999993</v>
      </c>
      <c r="G36" s="251">
        <v>66349.929999999993</v>
      </c>
      <c r="H36" s="251">
        <f>'NOT TO USE.'!E36</f>
        <v>51901.59</v>
      </c>
      <c r="J36" s="299">
        <f t="shared" si="7"/>
        <v>-13225.160000000003</v>
      </c>
      <c r="K36" s="302">
        <f>+J36/F36</f>
        <v>-0.20613847225261664</v>
      </c>
      <c r="M36" s="299">
        <f t="shared" si="8"/>
        <v>2349.0199999999895</v>
      </c>
      <c r="N36" s="302">
        <f>+M36/E36</f>
        <v>4.8351155251376308E-2</v>
      </c>
    </row>
    <row r="37" spans="1:14" x14ac:dyDescent="0.3">
      <c r="A37" s="1"/>
      <c r="B37" s="204" t="s">
        <v>44</v>
      </c>
      <c r="C37" s="3"/>
      <c r="D37" s="213">
        <v>20175.84</v>
      </c>
      <c r="E37" s="251">
        <v>14175</v>
      </c>
      <c r="F37" s="251">
        <v>18001.250000000004</v>
      </c>
      <c r="G37" s="251">
        <v>21635</v>
      </c>
      <c r="H37" s="251">
        <f>'NOT TO USE.'!E37</f>
        <v>16546</v>
      </c>
      <c r="J37" s="299">
        <f t="shared" si="7"/>
        <v>2174.5899999999965</v>
      </c>
      <c r="K37" s="302">
        <f>+J37/F37</f>
        <v>0.12080216651621394</v>
      </c>
      <c r="M37" s="299">
        <f t="shared" si="8"/>
        <v>6000.84</v>
      </c>
      <c r="N37" s="302">
        <f>+M37/E37</f>
        <v>0.42333968253968257</v>
      </c>
    </row>
    <row r="38" spans="1:14" x14ac:dyDescent="0.3">
      <c r="A38" s="1"/>
      <c r="B38" s="204" t="s">
        <v>45</v>
      </c>
      <c r="C38" s="3"/>
      <c r="D38" s="213">
        <v>-1460.6300000000006</v>
      </c>
      <c r="E38" s="251">
        <v>420</v>
      </c>
      <c r="F38" s="251">
        <v>378.96000000000049</v>
      </c>
      <c r="G38" s="251">
        <v>1625.0400000000002</v>
      </c>
      <c r="H38" s="251">
        <f>'NOT TO USE.'!E38</f>
        <v>1820.0400000000002</v>
      </c>
      <c r="J38" s="299">
        <f t="shared" si="7"/>
        <v>-1839.5900000000011</v>
      </c>
      <c r="K38" s="302">
        <f>+J38/F38</f>
        <v>-4.8543118007177499</v>
      </c>
      <c r="M38" s="299">
        <f t="shared" si="8"/>
        <v>-1880.6300000000006</v>
      </c>
      <c r="N38" s="302">
        <f>+M38/E38</f>
        <v>-4.4776904761904772</v>
      </c>
    </row>
    <row r="39" spans="1:14" x14ac:dyDescent="0.3">
      <c r="A39" s="1"/>
      <c r="B39" s="204" t="s">
        <v>46</v>
      </c>
      <c r="C39" s="3"/>
      <c r="D39" s="213">
        <v>7974.6400000000049</v>
      </c>
      <c r="E39" s="251">
        <v>8796</v>
      </c>
      <c r="F39" s="251">
        <v>8502.9600000000009</v>
      </c>
      <c r="G39" s="251">
        <v>0</v>
      </c>
      <c r="H39" s="251">
        <f>'NOT TO USE.'!E39</f>
        <v>0</v>
      </c>
      <c r="J39" s="299">
        <f t="shared" si="7"/>
        <v>-528.31999999999607</v>
      </c>
      <c r="K39" s="302"/>
      <c r="M39" s="299">
        <f t="shared" si="8"/>
        <v>-821.35999999999513</v>
      </c>
      <c r="N39" s="302"/>
    </row>
    <row r="40" spans="1:14" ht="15" thickBot="1" x14ac:dyDescent="0.35">
      <c r="A40" s="1"/>
      <c r="B40" s="205" t="s">
        <v>47</v>
      </c>
      <c r="C40" s="3"/>
      <c r="D40" s="269">
        <v>6492.7</v>
      </c>
      <c r="E40" s="252">
        <v>5160</v>
      </c>
      <c r="F40" s="252">
        <v>6223.91</v>
      </c>
      <c r="G40" s="252">
        <v>205.97</v>
      </c>
      <c r="H40" s="252">
        <f>'NOT TO USE.'!E40</f>
        <v>121.71000000000001</v>
      </c>
      <c r="J40" s="300">
        <f t="shared" si="7"/>
        <v>268.78999999999996</v>
      </c>
      <c r="K40" s="303">
        <f>+J40/F40</f>
        <v>4.3186678470607698E-2</v>
      </c>
      <c r="M40" s="300">
        <f t="shared" si="8"/>
        <v>1332.6999999999998</v>
      </c>
      <c r="N40" s="303">
        <f>+M40/E40</f>
        <v>0.2582751937984496</v>
      </c>
    </row>
    <row r="41" spans="1:14" ht="15" thickBot="1" x14ac:dyDescent="0.35">
      <c r="A41" s="1"/>
      <c r="B41" s="210" t="s">
        <v>16</v>
      </c>
      <c r="C41" s="29"/>
      <c r="D41" s="223">
        <f>SUM(D31:D40)</f>
        <v>3553334.92</v>
      </c>
      <c r="E41" s="270">
        <f>SUM(E31:E40)</f>
        <v>3154524.1599999997</v>
      </c>
      <c r="F41" s="270">
        <f>SUM(F31:F40)</f>
        <v>3364420.1700000004</v>
      </c>
      <c r="G41" s="270">
        <v>3020537.2</v>
      </c>
      <c r="H41" s="270">
        <f>SUM(H31:H40)</f>
        <v>2730915.36</v>
      </c>
      <c r="J41" s="301">
        <f t="shared" si="7"/>
        <v>188914.74999999953</v>
      </c>
      <c r="K41" s="304">
        <f>+J41/F41</f>
        <v>5.61507601471785E-2</v>
      </c>
      <c r="M41" s="301">
        <f t="shared" si="8"/>
        <v>398810.76000000024</v>
      </c>
      <c r="N41" s="304">
        <f>+M41/E41</f>
        <v>0.12642501365404038</v>
      </c>
    </row>
    <row r="42" spans="1:14" ht="15" thickBot="1" x14ac:dyDescent="0.35">
      <c r="A42" s="1"/>
      <c r="B42" s="48"/>
      <c r="C42" s="49"/>
      <c r="D42" s="76"/>
      <c r="E42" s="232"/>
      <c r="F42" s="232"/>
      <c r="G42" s="232"/>
      <c r="H42" s="232"/>
      <c r="J42" s="76"/>
      <c r="K42" s="232"/>
      <c r="M42" s="76"/>
      <c r="N42" s="232"/>
    </row>
    <row r="43" spans="1:14" ht="15" thickBot="1" x14ac:dyDescent="0.35">
      <c r="A43" s="1"/>
      <c r="B43" s="208" t="s">
        <v>48</v>
      </c>
      <c r="C43" s="4"/>
      <c r="D43" s="9"/>
      <c r="E43" s="9"/>
      <c r="F43" s="9"/>
      <c r="G43" s="9"/>
      <c r="H43" s="9"/>
      <c r="J43" s="9"/>
      <c r="K43" s="296"/>
      <c r="M43" s="9"/>
      <c r="N43" s="296"/>
    </row>
    <row r="44" spans="1:14" x14ac:dyDescent="0.3">
      <c r="A44" s="1"/>
      <c r="B44" s="211" t="s">
        <v>49</v>
      </c>
      <c r="C44" s="3"/>
      <c r="D44" s="212">
        <v>210772.32</v>
      </c>
      <c r="E44" s="257">
        <v>184115.71799999994</v>
      </c>
      <c r="F44" s="257">
        <v>247197.25</v>
      </c>
      <c r="G44" s="257">
        <v>217644.37</v>
      </c>
      <c r="H44" s="257">
        <f>+'NOT TO USE.'!E44</f>
        <v>204053</v>
      </c>
      <c r="J44" s="236">
        <f t="shared" ref="J44:J51" si="9">D44-F44</f>
        <v>-36424.929999999993</v>
      </c>
      <c r="K44" s="305">
        <f>+J44/F44</f>
        <v>-0.14735167968090257</v>
      </c>
      <c r="M44" s="236">
        <f t="shared" ref="M44:M51" si="10">D44-E44</f>
        <v>26656.602000000072</v>
      </c>
      <c r="N44" s="305">
        <f>+M44/E44</f>
        <v>0.14478178337821263</v>
      </c>
    </row>
    <row r="45" spans="1:14" x14ac:dyDescent="0.3">
      <c r="A45" s="1"/>
      <c r="B45" s="204" t="s">
        <v>50</v>
      </c>
      <c r="C45" s="3"/>
      <c r="D45" s="213">
        <v>46837.94</v>
      </c>
      <c r="E45" s="251">
        <v>20252.728979999996</v>
      </c>
      <c r="F45" s="251">
        <v>24442.959999999999</v>
      </c>
      <c r="G45" s="251">
        <v>25592.959999999999</v>
      </c>
      <c r="H45" s="251">
        <f>+'NOT TO USE.'!E45</f>
        <v>18740</v>
      </c>
      <c r="J45" s="237">
        <f t="shared" si="9"/>
        <v>22394.980000000003</v>
      </c>
      <c r="K45" s="286">
        <f>+J45/F45</f>
        <v>0.91621391189937729</v>
      </c>
      <c r="M45" s="237">
        <f t="shared" si="10"/>
        <v>26585.211020000006</v>
      </c>
      <c r="N45" s="286">
        <f>+M45/E45</f>
        <v>1.312673025262594</v>
      </c>
    </row>
    <row r="46" spans="1:14" x14ac:dyDescent="0.3">
      <c r="A46" s="1"/>
      <c r="B46" s="204" t="s">
        <v>51</v>
      </c>
      <c r="C46" s="3"/>
      <c r="D46" s="213">
        <v>15436.739999999998</v>
      </c>
      <c r="E46" s="251">
        <v>20581.043999999998</v>
      </c>
      <c r="F46" s="251">
        <v>21746.21</v>
      </c>
      <c r="G46" s="251">
        <v>20319.72</v>
      </c>
      <c r="H46" s="251">
        <f>+'NOT TO USE.'!E46</f>
        <v>15613</v>
      </c>
      <c r="J46" s="237">
        <f t="shared" si="9"/>
        <v>-6309.4700000000012</v>
      </c>
      <c r="K46" s="286">
        <f>+J46/F46</f>
        <v>-0.29014113263874491</v>
      </c>
      <c r="M46" s="237">
        <f t="shared" si="10"/>
        <v>-5144.3040000000001</v>
      </c>
      <c r="N46" s="286">
        <f>+M46/E46</f>
        <v>-0.24995350090112051</v>
      </c>
    </row>
    <row r="47" spans="1:14" x14ac:dyDescent="0.3">
      <c r="A47" s="1"/>
      <c r="B47" s="204" t="s">
        <v>52</v>
      </c>
      <c r="C47" s="3"/>
      <c r="D47" s="213">
        <f>+'NOT TO USE.'!D47</f>
        <v>0</v>
      </c>
      <c r="E47" s="251">
        <f>+'NOT TO USE.'!D47</f>
        <v>0</v>
      </c>
      <c r="F47" s="251"/>
      <c r="G47" s="251">
        <v>0</v>
      </c>
      <c r="H47" s="251">
        <f>+'NOT TO USE.'!E47</f>
        <v>0</v>
      </c>
      <c r="J47" s="237">
        <f t="shared" si="9"/>
        <v>0</v>
      </c>
      <c r="K47" s="286"/>
      <c r="M47" s="237">
        <f t="shared" si="10"/>
        <v>0</v>
      </c>
      <c r="N47" s="286"/>
    </row>
    <row r="48" spans="1:14" x14ac:dyDescent="0.3">
      <c r="A48" s="1"/>
      <c r="B48" s="204" t="s">
        <v>53</v>
      </c>
      <c r="C48" s="3"/>
      <c r="D48" s="213">
        <f>+'NOT TO USE.'!D48</f>
        <v>0</v>
      </c>
      <c r="E48" s="251">
        <f>+'NOT TO USE.'!D48</f>
        <v>0</v>
      </c>
      <c r="F48" s="251"/>
      <c r="G48" s="251">
        <v>0</v>
      </c>
      <c r="H48" s="251">
        <f>+'NOT TO USE.'!E48</f>
        <v>0</v>
      </c>
      <c r="J48" s="237">
        <f t="shared" si="9"/>
        <v>0</v>
      </c>
      <c r="K48" s="286"/>
      <c r="M48" s="237">
        <f t="shared" si="10"/>
        <v>0</v>
      </c>
      <c r="N48" s="286"/>
    </row>
    <row r="49" spans="1:14" x14ac:dyDescent="0.3">
      <c r="A49" s="1"/>
      <c r="B49" s="204" t="s">
        <v>54</v>
      </c>
      <c r="C49" s="3"/>
      <c r="D49" s="213">
        <v>29021.030000000002</v>
      </c>
      <c r="E49" s="251">
        <v>21290.692806000003</v>
      </c>
      <c r="F49" s="251">
        <v>30470.61</v>
      </c>
      <c r="G49" s="251">
        <v>23029.069999999996</v>
      </c>
      <c r="H49" s="251">
        <f>+'NOT TO USE.'!E49</f>
        <v>23214</v>
      </c>
      <c r="J49" s="237">
        <f t="shared" si="9"/>
        <v>-1449.5799999999981</v>
      </c>
      <c r="K49" s="286">
        <f>+J49/F49</f>
        <v>-4.7573054822335294E-2</v>
      </c>
      <c r="M49" s="237">
        <f t="shared" si="10"/>
        <v>7730.3371939999997</v>
      </c>
      <c r="N49" s="286">
        <f>+M49/E49</f>
        <v>0.36308528165046311</v>
      </c>
    </row>
    <row r="50" spans="1:14" x14ac:dyDescent="0.3">
      <c r="A50" s="1"/>
      <c r="B50" s="205"/>
      <c r="C50" s="3"/>
      <c r="D50" s="214"/>
      <c r="E50" s="254"/>
      <c r="F50" s="254"/>
      <c r="G50" s="254"/>
      <c r="H50" s="254"/>
      <c r="J50" s="246">
        <f t="shared" si="9"/>
        <v>0</v>
      </c>
      <c r="K50" s="288"/>
      <c r="M50" s="246">
        <f t="shared" si="10"/>
        <v>0</v>
      </c>
      <c r="N50" s="288"/>
    </row>
    <row r="51" spans="1:14" ht="15" thickBot="1" x14ac:dyDescent="0.35">
      <c r="A51" s="1"/>
      <c r="B51" s="210" t="s">
        <v>55</v>
      </c>
      <c r="C51" s="4"/>
      <c r="D51" s="223">
        <f>SUM(D44:D49)</f>
        <v>302068.03000000003</v>
      </c>
      <c r="E51" s="259">
        <f>SUM(E44:E49)</f>
        <v>246240.18378599992</v>
      </c>
      <c r="F51" s="259">
        <f>SUM(F44:F49)</f>
        <v>323857.03000000003</v>
      </c>
      <c r="G51" s="259">
        <v>286586.12</v>
      </c>
      <c r="H51" s="259">
        <f>SUM(H44:H49)</f>
        <v>261620</v>
      </c>
      <c r="J51" s="241">
        <f t="shared" si="9"/>
        <v>-21789</v>
      </c>
      <c r="K51" s="292">
        <f>+J51/F51</f>
        <v>-6.7279688200685334E-2</v>
      </c>
      <c r="M51" s="241">
        <f t="shared" si="10"/>
        <v>55827.846214000107</v>
      </c>
      <c r="N51" s="292">
        <f>+M51/E51</f>
        <v>0.22672110358120282</v>
      </c>
    </row>
    <row r="52" spans="1:14" ht="15" thickBot="1" x14ac:dyDescent="0.35">
      <c r="A52" s="1"/>
      <c r="B52" s="48"/>
      <c r="C52" s="49"/>
      <c r="D52" s="76"/>
      <c r="E52" s="284"/>
      <c r="F52" s="232"/>
      <c r="G52" s="284"/>
      <c r="H52" s="232"/>
      <c r="J52" s="76"/>
      <c r="K52" s="232"/>
      <c r="M52" s="76"/>
      <c r="N52" s="232"/>
    </row>
    <row r="53" spans="1:14" ht="15" thickBot="1" x14ac:dyDescent="0.35">
      <c r="A53" s="1"/>
      <c r="B53" s="208" t="s">
        <v>56</v>
      </c>
      <c r="C53" s="4"/>
      <c r="D53" s="9"/>
      <c r="E53" s="9"/>
      <c r="F53" s="9"/>
      <c r="G53" s="9"/>
      <c r="H53" s="9"/>
      <c r="J53" s="9"/>
      <c r="K53" s="296"/>
      <c r="M53" s="9"/>
      <c r="N53" s="296"/>
    </row>
    <row r="54" spans="1:14" x14ac:dyDescent="0.3">
      <c r="A54" s="1"/>
      <c r="B54" s="211" t="s">
        <v>57</v>
      </c>
      <c r="C54" s="3"/>
      <c r="D54" s="212">
        <v>1860</v>
      </c>
      <c r="E54" s="257">
        <v>3000</v>
      </c>
      <c r="F54" s="257">
        <v>2180</v>
      </c>
      <c r="G54" s="257">
        <v>1964.2</v>
      </c>
      <c r="H54" s="257">
        <f>+'NOT TO USE.'!E54</f>
        <v>2040</v>
      </c>
      <c r="J54" s="236">
        <f t="shared" ref="J54:J64" si="11">D54-F54</f>
        <v>-320</v>
      </c>
      <c r="K54" s="305">
        <f t="shared" ref="K54:K61" si="12">+J54/F54</f>
        <v>-0.14678899082568808</v>
      </c>
      <c r="M54" s="236">
        <f t="shared" ref="M54:M64" si="13">D54-E54</f>
        <v>-1140</v>
      </c>
      <c r="N54" s="305">
        <f t="shared" ref="N54:N61" si="14">+M54/E54</f>
        <v>-0.38</v>
      </c>
    </row>
    <row r="55" spans="1:14" x14ac:dyDescent="0.3">
      <c r="A55" s="1"/>
      <c r="B55" s="204" t="s">
        <v>58</v>
      </c>
      <c r="C55" s="3"/>
      <c r="D55" s="213">
        <v>24537</v>
      </c>
      <c r="E55" s="251">
        <v>26471.450000000004</v>
      </c>
      <c r="F55" s="251">
        <v>24668.339999999997</v>
      </c>
      <c r="G55" s="251">
        <v>24191.35</v>
      </c>
      <c r="H55" s="251">
        <f>+'NOT TO USE.'!E55</f>
        <v>20318</v>
      </c>
      <c r="J55" s="237">
        <f t="shared" si="11"/>
        <v>-131.33999999999651</v>
      </c>
      <c r="K55" s="286">
        <f t="shared" si="12"/>
        <v>-5.3242334101117677E-3</v>
      </c>
      <c r="M55" s="237">
        <f t="shared" si="13"/>
        <v>-1934.4500000000044</v>
      </c>
      <c r="N55" s="286">
        <f t="shared" si="14"/>
        <v>-7.3076843164994895E-2</v>
      </c>
    </row>
    <row r="56" spans="1:14" x14ac:dyDescent="0.3">
      <c r="A56" s="1"/>
      <c r="B56" s="204" t="s">
        <v>59</v>
      </c>
      <c r="C56" s="3"/>
      <c r="D56" s="213">
        <v>135982.90999999997</v>
      </c>
      <c r="E56" s="251">
        <v>65612.099999999991</v>
      </c>
      <c r="F56" s="251">
        <v>53441.760000000002</v>
      </c>
      <c r="G56" s="251">
        <v>54466.030000000006</v>
      </c>
      <c r="H56" s="251">
        <f>+'NOT TO USE.'!E56</f>
        <v>25953</v>
      </c>
      <c r="J56" s="237">
        <f t="shared" si="11"/>
        <v>82541.149999999965</v>
      </c>
      <c r="K56" s="286">
        <f t="shared" si="12"/>
        <v>1.5445065806215956</v>
      </c>
      <c r="M56" s="237">
        <f t="shared" si="13"/>
        <v>70370.809999999983</v>
      </c>
      <c r="N56" s="286">
        <f t="shared" si="14"/>
        <v>1.0725279331098989</v>
      </c>
    </row>
    <row r="57" spans="1:14" x14ac:dyDescent="0.3">
      <c r="A57" s="1"/>
      <c r="B57" s="204" t="s">
        <v>61</v>
      </c>
      <c r="C57" s="3"/>
      <c r="D57" s="260">
        <v>1421.74</v>
      </c>
      <c r="E57" s="261">
        <v>552</v>
      </c>
      <c r="F57" s="251">
        <v>841.43000000000006</v>
      </c>
      <c r="G57" s="261">
        <v>688.66000000000008</v>
      </c>
      <c r="H57" s="261">
        <f>+'NOT TO USE.'!E58</f>
        <v>0</v>
      </c>
      <c r="J57" s="237">
        <f t="shared" si="11"/>
        <v>580.30999999999995</v>
      </c>
      <c r="K57" s="286">
        <f t="shared" si="12"/>
        <v>0.68967115505746157</v>
      </c>
      <c r="M57" s="237">
        <f t="shared" si="13"/>
        <v>869.74</v>
      </c>
      <c r="N57" s="286">
        <f t="shared" si="14"/>
        <v>1.5756159420289855</v>
      </c>
    </row>
    <row r="58" spans="1:14" x14ac:dyDescent="0.3">
      <c r="A58" s="1"/>
      <c r="B58" s="204" t="s">
        <v>62</v>
      </c>
      <c r="C58" s="3"/>
      <c r="D58" s="260">
        <v>10656.820000000002</v>
      </c>
      <c r="E58" s="261">
        <v>12036</v>
      </c>
      <c r="F58" s="261">
        <v>14504.32</v>
      </c>
      <c r="G58" s="261">
        <v>30254</v>
      </c>
      <c r="H58" s="261">
        <f>+'NOT TO USE.'!E59</f>
        <v>18673</v>
      </c>
      <c r="J58" s="237">
        <f t="shared" si="11"/>
        <v>-3847.4999999999982</v>
      </c>
      <c r="K58" s="286">
        <f t="shared" si="12"/>
        <v>-0.26526579667299111</v>
      </c>
      <c r="M58" s="237">
        <f t="shared" si="13"/>
        <v>-1379.1799999999985</v>
      </c>
      <c r="N58" s="286">
        <f t="shared" si="14"/>
        <v>-0.11458790295779316</v>
      </c>
    </row>
    <row r="59" spans="1:14" x14ac:dyDescent="0.3">
      <c r="A59" s="1"/>
      <c r="B59" s="204" t="s">
        <v>63</v>
      </c>
      <c r="C59" s="3"/>
      <c r="D59" s="260">
        <v>56507.56</v>
      </c>
      <c r="E59" s="261">
        <v>46720.799999999996</v>
      </c>
      <c r="F59" s="261">
        <v>51912</v>
      </c>
      <c r="G59" s="261">
        <v>49632.54</v>
      </c>
      <c r="H59" s="261">
        <f>+'NOT TO USE.'!E60</f>
        <v>49466</v>
      </c>
      <c r="J59" s="237">
        <f t="shared" si="11"/>
        <v>4595.5599999999977</v>
      </c>
      <c r="K59" s="286">
        <f t="shared" si="12"/>
        <v>8.8525967021112609E-2</v>
      </c>
      <c r="M59" s="237">
        <f t="shared" si="13"/>
        <v>9786.760000000002</v>
      </c>
      <c r="N59" s="286">
        <f t="shared" si="14"/>
        <v>0.20947329669012524</v>
      </c>
    </row>
    <row r="60" spans="1:14" x14ac:dyDescent="0.3">
      <c r="A60" s="1"/>
      <c r="B60" s="204" t="s">
        <v>25</v>
      </c>
      <c r="C60" s="3"/>
      <c r="D60" s="260">
        <v>755220.7200000002</v>
      </c>
      <c r="E60" s="261">
        <v>755220.7200000002</v>
      </c>
      <c r="F60" s="261">
        <v>733224</v>
      </c>
      <c r="G60" s="261">
        <v>698304</v>
      </c>
      <c r="H60" s="261">
        <f>+'NOT TO USE.'!E61</f>
        <v>665051</v>
      </c>
      <c r="J60" s="237">
        <f t="shared" si="11"/>
        <v>21996.720000000205</v>
      </c>
      <c r="K60" s="286">
        <f t="shared" si="12"/>
        <v>3.000000000000028E-2</v>
      </c>
      <c r="M60" s="237">
        <f t="shared" si="13"/>
        <v>0</v>
      </c>
      <c r="N60" s="286">
        <f t="shared" si="14"/>
        <v>0</v>
      </c>
    </row>
    <row r="61" spans="1:14" x14ac:dyDescent="0.3">
      <c r="A61" s="1"/>
      <c r="B61" s="204" t="s">
        <v>64</v>
      </c>
      <c r="C61" s="3"/>
      <c r="D61" s="260">
        <v>7301.6799999999994</v>
      </c>
      <c r="E61" s="261">
        <v>13380</v>
      </c>
      <c r="F61" s="261">
        <v>13385.27</v>
      </c>
      <c r="G61" s="261">
        <v>24006.65</v>
      </c>
      <c r="H61" s="261">
        <f>+'NOT TO USE.'!E62</f>
        <v>18540</v>
      </c>
      <c r="J61" s="237">
        <f t="shared" si="11"/>
        <v>-6083.5900000000011</v>
      </c>
      <c r="K61" s="286">
        <f t="shared" si="12"/>
        <v>-0.45449886330272016</v>
      </c>
      <c r="M61" s="237">
        <f t="shared" si="13"/>
        <v>-6078.3200000000006</v>
      </c>
      <c r="N61" s="286">
        <f t="shared" si="14"/>
        <v>-0.45428400597907331</v>
      </c>
    </row>
    <row r="62" spans="1:14" x14ac:dyDescent="0.3">
      <c r="A62" s="1"/>
      <c r="B62" s="204" t="s">
        <v>65</v>
      </c>
      <c r="C62" s="3"/>
      <c r="D62" s="260">
        <f>+'NOT TO USE.'!D63</f>
        <v>0</v>
      </c>
      <c r="E62" s="261">
        <v>0</v>
      </c>
      <c r="F62" s="261"/>
      <c r="G62" s="261"/>
      <c r="H62" s="261">
        <f>+'NOT TO USE.'!E63</f>
        <v>0</v>
      </c>
      <c r="J62" s="237">
        <f t="shared" si="11"/>
        <v>0</v>
      </c>
      <c r="K62" s="286"/>
      <c r="M62" s="237">
        <f t="shared" si="13"/>
        <v>0</v>
      </c>
      <c r="N62" s="286"/>
    </row>
    <row r="63" spans="1:14" x14ac:dyDescent="0.3">
      <c r="A63" s="1"/>
      <c r="B63" s="205" t="s">
        <v>66</v>
      </c>
      <c r="C63" s="3"/>
      <c r="D63" s="214">
        <v>5133.37</v>
      </c>
      <c r="E63" s="254">
        <v>5604</v>
      </c>
      <c r="F63" s="254">
        <v>5600.04</v>
      </c>
      <c r="G63" s="254">
        <v>5600.04</v>
      </c>
      <c r="H63" s="254">
        <f>+'NOT TO USE.'!E64</f>
        <v>-250</v>
      </c>
      <c r="J63" s="246">
        <f t="shared" si="11"/>
        <v>-466.67000000000007</v>
      </c>
      <c r="K63" s="288">
        <f>+J63/F63</f>
        <v>-8.3333333333333343E-2</v>
      </c>
      <c r="M63" s="246">
        <f t="shared" si="13"/>
        <v>-470.63000000000011</v>
      </c>
      <c r="N63" s="288">
        <f>+M63/E63</f>
        <v>-8.398108493932907E-2</v>
      </c>
    </row>
    <row r="64" spans="1:14" ht="15" thickBot="1" x14ac:dyDescent="0.35">
      <c r="A64" s="1"/>
      <c r="B64" s="210" t="s">
        <v>67</v>
      </c>
      <c r="C64" s="4"/>
      <c r="D64" s="223">
        <f>SUM(D54:D63)</f>
        <v>998621.80000000028</v>
      </c>
      <c r="E64" s="259">
        <f>SUM(E54:E63)</f>
        <v>928597.07000000018</v>
      </c>
      <c r="F64" s="259">
        <f>SUM(F54:F63)</f>
        <v>899757.16</v>
      </c>
      <c r="G64" s="259">
        <v>889107.47000000009</v>
      </c>
      <c r="H64" s="259">
        <f>SUM(H54:H63)</f>
        <v>799791</v>
      </c>
      <c r="J64" s="242">
        <f t="shared" si="11"/>
        <v>98864.640000000247</v>
      </c>
      <c r="K64" s="292">
        <f>+J64/F64</f>
        <v>0.10987924786283473</v>
      </c>
      <c r="M64" s="242">
        <f t="shared" si="13"/>
        <v>70024.730000000098</v>
      </c>
      <c r="N64" s="292">
        <f>+M64/E64</f>
        <v>7.5409165355217078E-2</v>
      </c>
    </row>
    <row r="65" spans="1:14" ht="15" thickBot="1" x14ac:dyDescent="0.35">
      <c r="A65" s="1"/>
      <c r="B65" s="48"/>
      <c r="C65" s="49"/>
      <c r="D65" s="57"/>
      <c r="E65" s="284"/>
      <c r="F65" s="232"/>
      <c r="G65" s="284"/>
      <c r="H65" s="232"/>
      <c r="J65" s="57"/>
      <c r="K65" s="232"/>
      <c r="M65" s="57"/>
      <c r="N65" s="232"/>
    </row>
    <row r="66" spans="1:14" ht="15" thickBot="1" x14ac:dyDescent="0.35">
      <c r="A66" s="1"/>
      <c r="B66" s="208" t="s">
        <v>68</v>
      </c>
      <c r="C66" s="4"/>
      <c r="D66" s="120"/>
      <c r="E66" s="120"/>
      <c r="F66" s="120"/>
      <c r="G66" s="120"/>
      <c r="H66" s="120"/>
      <c r="J66" s="120"/>
      <c r="K66" s="296"/>
      <c r="M66" s="120"/>
      <c r="N66" s="296"/>
    </row>
    <row r="67" spans="1:14" ht="15" thickBot="1" x14ac:dyDescent="0.35">
      <c r="A67" s="1"/>
      <c r="B67" s="220" t="s">
        <v>69</v>
      </c>
      <c r="C67" s="29"/>
      <c r="D67" s="380">
        <f>D41-D51-D64</f>
        <v>2252645.0899999994</v>
      </c>
      <c r="E67" s="218">
        <f>E41-E51-E64</f>
        <v>1979686.9062139993</v>
      </c>
      <c r="F67" s="217">
        <f>F41-F51-F64</f>
        <v>2140805.9800000004</v>
      </c>
      <c r="G67" s="401">
        <v>1844843.6099999999</v>
      </c>
      <c r="H67" s="219">
        <f>H41-H51-H64</f>
        <v>1669504.3599999999</v>
      </c>
      <c r="J67" s="243">
        <f>D67-F67</f>
        <v>111839.10999999894</v>
      </c>
      <c r="K67" s="307">
        <f>+J67/F67</f>
        <v>5.2241590804972864E-2</v>
      </c>
      <c r="M67" s="243">
        <f>D67-E67</f>
        <v>272958.18378600013</v>
      </c>
      <c r="N67" s="307">
        <f>+M67/E67</f>
        <v>0.13787947120790525</v>
      </c>
    </row>
    <row r="68" spans="1:14" x14ac:dyDescent="0.3">
      <c r="A68" s="1"/>
      <c r="B68" s="2"/>
      <c r="C68" s="4"/>
      <c r="D68" s="100"/>
      <c r="E68" s="233"/>
      <c r="F68" s="233"/>
      <c r="G68" s="233"/>
      <c r="H68" s="233"/>
      <c r="J68" s="100"/>
      <c r="K68" s="233"/>
      <c r="M68" s="100"/>
      <c r="N68" s="233"/>
    </row>
    <row r="69" spans="1:14" ht="15" thickBot="1" x14ac:dyDescent="0.35">
      <c r="A69" s="1"/>
      <c r="B69" s="48"/>
      <c r="C69" s="49"/>
      <c r="D69" s="76"/>
      <c r="E69" s="76"/>
      <c r="F69" s="76"/>
      <c r="G69" s="76"/>
      <c r="H69" s="76"/>
      <c r="J69" s="76"/>
      <c r="K69" s="232"/>
      <c r="M69" s="76"/>
      <c r="N69" s="232"/>
    </row>
    <row r="70" spans="1:14" ht="15" thickBot="1" x14ac:dyDescent="0.35">
      <c r="A70" s="1"/>
      <c r="B70" s="208" t="s">
        <v>70</v>
      </c>
      <c r="C70" s="4"/>
      <c r="D70" s="101"/>
      <c r="E70" s="101"/>
      <c r="F70" s="101"/>
      <c r="G70" s="101"/>
      <c r="H70" s="101"/>
      <c r="J70" s="101"/>
      <c r="K70" s="297"/>
      <c r="M70" s="101"/>
      <c r="N70" s="297"/>
    </row>
    <row r="71" spans="1:14" ht="15" thickBot="1" x14ac:dyDescent="0.35">
      <c r="A71" s="1"/>
      <c r="B71" s="48"/>
      <c r="C71" s="49"/>
      <c r="D71" s="103"/>
      <c r="E71" s="103"/>
      <c r="F71" s="103"/>
      <c r="G71" s="103"/>
      <c r="H71" s="103"/>
      <c r="J71" s="103"/>
      <c r="K71" s="295"/>
      <c r="M71" s="103"/>
      <c r="N71" s="295"/>
    </row>
    <row r="72" spans="1:14" ht="15" thickBot="1" x14ac:dyDescent="0.35">
      <c r="A72" s="1"/>
      <c r="B72" s="208" t="s">
        <v>48</v>
      </c>
      <c r="C72" s="4"/>
      <c r="D72" s="308" t="str">
        <f>D3</f>
        <v>ACTUAL 2024</v>
      </c>
      <c r="E72" s="224" t="str">
        <f>E3</f>
        <v>BUDGET 2024</v>
      </c>
      <c r="F72" s="224" t="str">
        <f>F3</f>
        <v>ACTUAL 2023</v>
      </c>
      <c r="G72" s="308" t="s">
        <v>231</v>
      </c>
      <c r="H72" s="351" t="str">
        <f>H3</f>
        <v>ACTUAL 2021</v>
      </c>
      <c r="J72" s="235" t="str">
        <f>+J$3</f>
        <v>B 2022 vs Act 2021</v>
      </c>
      <c r="K72" s="311" t="str">
        <f>+K$3</f>
        <v>%</v>
      </c>
      <c r="M72" s="235" t="str">
        <f>+M$3</f>
        <v>Act 2024 vs Bud 2024</v>
      </c>
      <c r="N72" s="311" t="str">
        <f>+N$3</f>
        <v>%</v>
      </c>
    </row>
    <row r="73" spans="1:14" x14ac:dyDescent="0.3">
      <c r="A73" s="1"/>
      <c r="B73" s="204" t="s">
        <v>18</v>
      </c>
      <c r="C73" s="3"/>
      <c r="D73" s="213">
        <v>213486.13999999998</v>
      </c>
      <c r="E73" s="31">
        <v>218516.90951333332</v>
      </c>
      <c r="F73" s="355">
        <v>228762.14</v>
      </c>
      <c r="G73" s="26">
        <v>221820.35000000003</v>
      </c>
      <c r="H73" s="194">
        <f>+'NOT TO USE.'!E74</f>
        <v>182144.05000000002</v>
      </c>
      <c r="J73" s="237">
        <f t="shared" ref="J73:J82" si="15">D73-F73</f>
        <v>-15276.000000000029</v>
      </c>
      <c r="K73" s="286">
        <f t="shared" ref="K73:K80" si="16">+J73/F73</f>
        <v>-6.6776783955596969E-2</v>
      </c>
      <c r="M73" s="237">
        <f t="shared" ref="M73:M82" si="17">D73-E73</f>
        <v>-5030.7695133333327</v>
      </c>
      <c r="N73" s="286">
        <f t="shared" ref="N73:N80" si="18">+M73/E73</f>
        <v>-2.3022335088563793E-2</v>
      </c>
    </row>
    <row r="74" spans="1:14" x14ac:dyDescent="0.3">
      <c r="A74" s="1"/>
      <c r="B74" s="204" t="s">
        <v>71</v>
      </c>
      <c r="C74" s="3"/>
      <c r="D74" s="213">
        <v>193860.13</v>
      </c>
      <c r="E74" s="31">
        <v>211123.89036374996</v>
      </c>
      <c r="F74" s="355">
        <v>195186.75999999998</v>
      </c>
      <c r="G74" s="26">
        <v>196184.29000000004</v>
      </c>
      <c r="H74" s="194">
        <f>+'NOT TO USE.'!E75</f>
        <v>148912.44999999998</v>
      </c>
      <c r="J74" s="237">
        <f t="shared" si="15"/>
        <v>-1326.6299999999756</v>
      </c>
      <c r="K74" s="286">
        <f t="shared" si="16"/>
        <v>-6.7967212530192916E-3</v>
      </c>
      <c r="M74" s="237">
        <f t="shared" si="17"/>
        <v>-17263.760363749956</v>
      </c>
      <c r="N74" s="286">
        <f t="shared" si="18"/>
        <v>-8.1770757132249919E-2</v>
      </c>
    </row>
    <row r="75" spans="1:14" x14ac:dyDescent="0.3">
      <c r="A75" s="1"/>
      <c r="B75" s="204" t="s">
        <v>72</v>
      </c>
      <c r="C75" s="3"/>
      <c r="D75" s="213">
        <v>10524</v>
      </c>
      <c r="E75" s="31">
        <v>10521</v>
      </c>
      <c r="F75" s="355">
        <v>10020</v>
      </c>
      <c r="G75" s="26">
        <v>10008</v>
      </c>
      <c r="H75" s="194">
        <f>+'NOT TO USE.'!E76</f>
        <v>10008</v>
      </c>
      <c r="J75" s="237">
        <f t="shared" si="15"/>
        <v>504</v>
      </c>
      <c r="K75" s="286">
        <f t="shared" si="16"/>
        <v>5.0299401197604787E-2</v>
      </c>
      <c r="M75" s="237">
        <f t="shared" si="17"/>
        <v>3</v>
      </c>
      <c r="N75" s="286">
        <f t="shared" si="18"/>
        <v>2.8514399771884804E-4</v>
      </c>
    </row>
    <row r="76" spans="1:14" x14ac:dyDescent="0.3">
      <c r="A76" s="1"/>
      <c r="B76" s="204" t="s">
        <v>50</v>
      </c>
      <c r="C76" s="3"/>
      <c r="D76" s="213">
        <v>53948.37000000001</v>
      </c>
      <c r="E76" s="31">
        <v>41815.370988322902</v>
      </c>
      <c r="F76" s="355">
        <v>41092.570000000007</v>
      </c>
      <c r="G76" s="26">
        <v>30750.809999999994</v>
      </c>
      <c r="H76" s="194">
        <f>+'NOT TO USE.'!E77</f>
        <v>33366.69</v>
      </c>
      <c r="J76" s="237">
        <f t="shared" si="15"/>
        <v>12855.800000000003</v>
      </c>
      <c r="K76" s="286">
        <f t="shared" si="16"/>
        <v>0.31284974388313996</v>
      </c>
      <c r="M76" s="237">
        <f t="shared" si="17"/>
        <v>12132.999011677108</v>
      </c>
      <c r="N76" s="286">
        <f t="shared" si="18"/>
        <v>0.29015643589686896</v>
      </c>
    </row>
    <row r="77" spans="1:14" x14ac:dyDescent="0.3">
      <c r="A77" s="1"/>
      <c r="B77" s="204" t="s">
        <v>73</v>
      </c>
      <c r="C77" s="3"/>
      <c r="D77" s="213">
        <v>22554.359999999997</v>
      </c>
      <c r="E77" s="31">
        <v>29490.84059176459</v>
      </c>
      <c r="F77" s="355">
        <v>28576.18</v>
      </c>
      <c r="G77" s="26">
        <v>26958.85</v>
      </c>
      <c r="H77" s="194">
        <f>+'NOT TO USE.'!E78</f>
        <v>23457.16</v>
      </c>
      <c r="J77" s="237">
        <f t="shared" si="15"/>
        <v>-6021.8200000000033</v>
      </c>
      <c r="K77" s="286">
        <f t="shared" si="16"/>
        <v>-0.21072865582453648</v>
      </c>
      <c r="M77" s="237">
        <f t="shared" si="17"/>
        <v>-6936.4805917645936</v>
      </c>
      <c r="N77" s="286">
        <f t="shared" si="18"/>
        <v>-0.23520796466214081</v>
      </c>
    </row>
    <row r="78" spans="1:14" x14ac:dyDescent="0.3">
      <c r="A78" s="1"/>
      <c r="B78" s="204" t="s">
        <v>52</v>
      </c>
      <c r="C78" s="3"/>
      <c r="D78" s="213">
        <v>10782.37</v>
      </c>
      <c r="E78" s="31">
        <v>11030.73</v>
      </c>
      <c r="F78" s="355">
        <v>10783.21</v>
      </c>
      <c r="G78" s="26">
        <v>6468</v>
      </c>
      <c r="H78" s="194">
        <f>+'NOT TO USE.'!E79</f>
        <v>8392.91</v>
      </c>
      <c r="J78" s="237">
        <f t="shared" si="15"/>
        <v>-0.83999999999832653</v>
      </c>
      <c r="K78" s="286">
        <f t="shared" si="16"/>
        <v>-7.7898881687208776E-5</v>
      </c>
      <c r="M78" s="237">
        <f t="shared" si="17"/>
        <v>-248.35999999999876</v>
      </c>
      <c r="N78" s="286">
        <f t="shared" si="18"/>
        <v>-2.2515282306791916E-2</v>
      </c>
    </row>
    <row r="79" spans="1:14" x14ac:dyDescent="0.3">
      <c r="A79" s="1"/>
      <c r="B79" s="204" t="s">
        <v>53</v>
      </c>
      <c r="C79" s="3"/>
      <c r="D79" s="213">
        <v>59895.88</v>
      </c>
      <c r="E79" s="31">
        <v>55636.80000000001</v>
      </c>
      <c r="F79" s="355">
        <v>46156.930000000008</v>
      </c>
      <c r="G79" s="26">
        <v>50420.05</v>
      </c>
      <c r="H79" s="194">
        <f>+'NOT TO USE.'!E80</f>
        <v>53206.06</v>
      </c>
      <c r="J79" s="237">
        <f t="shared" si="15"/>
        <v>13738.94999999999</v>
      </c>
      <c r="K79" s="286">
        <f t="shared" si="16"/>
        <v>0.29765736152729366</v>
      </c>
      <c r="M79" s="237">
        <f t="shared" si="17"/>
        <v>4259.0799999999872</v>
      </c>
      <c r="N79" s="286">
        <f t="shared" si="18"/>
        <v>7.6551491099415975E-2</v>
      </c>
    </row>
    <row r="80" spans="1:14" x14ac:dyDescent="0.3">
      <c r="A80" s="1"/>
      <c r="B80" s="204" t="s">
        <v>54</v>
      </c>
      <c r="C80" s="3"/>
      <c r="D80" s="213">
        <v>39005.65</v>
      </c>
      <c r="E80" s="31">
        <v>50882.160839933764</v>
      </c>
      <c r="F80" s="355">
        <v>38031.96</v>
      </c>
      <c r="G80" s="26">
        <v>31416.480000000003</v>
      </c>
      <c r="H80" s="194">
        <f>+'NOT TO USE.'!E81</f>
        <v>33579.17</v>
      </c>
      <c r="J80" s="237">
        <f t="shared" si="15"/>
        <v>973.69000000000233</v>
      </c>
      <c r="K80" s="286">
        <f t="shared" si="16"/>
        <v>2.5601888516921092E-2</v>
      </c>
      <c r="M80" s="237">
        <f t="shared" si="17"/>
        <v>-11876.510839933762</v>
      </c>
      <c r="N80" s="286">
        <f t="shared" si="18"/>
        <v>-0.23341207692210941</v>
      </c>
    </row>
    <row r="81" spans="1:15" x14ac:dyDescent="0.3">
      <c r="A81" s="1"/>
      <c r="B81" s="205"/>
      <c r="C81" s="3"/>
      <c r="D81" s="214"/>
      <c r="E81" s="34"/>
      <c r="F81" s="356"/>
      <c r="G81" s="35"/>
      <c r="H81" s="195"/>
      <c r="J81" s="246">
        <f t="shared" si="15"/>
        <v>0</v>
      </c>
      <c r="K81" s="288"/>
      <c r="M81" s="246">
        <f t="shared" si="17"/>
        <v>0</v>
      </c>
      <c r="N81" s="288"/>
    </row>
    <row r="82" spans="1:15" ht="15" thickBot="1" x14ac:dyDescent="0.35">
      <c r="A82" s="1"/>
      <c r="B82" s="210" t="s">
        <v>55</v>
      </c>
      <c r="C82" s="4"/>
      <c r="D82" s="223">
        <f>SUM(D73:D81)</f>
        <v>604056.9</v>
      </c>
      <c r="E82" s="216">
        <f>SUM(E73:E81)</f>
        <v>629017.70229710452</v>
      </c>
      <c r="F82" s="215">
        <f>SUM(F73:F81)</f>
        <v>598609.75</v>
      </c>
      <c r="G82" s="402">
        <v>574026.83000000007</v>
      </c>
      <c r="H82" s="379">
        <f>SUM(H73:H81)</f>
        <v>493066.48999999993</v>
      </c>
      <c r="J82" s="241">
        <f t="shared" si="15"/>
        <v>5447.1500000000233</v>
      </c>
      <c r="K82" s="292">
        <f>+J82/F82</f>
        <v>9.0996680224470512E-3</v>
      </c>
      <c r="M82" s="241">
        <f t="shared" si="17"/>
        <v>-24960.802297104499</v>
      </c>
      <c r="N82" s="292">
        <f>+M82/E82</f>
        <v>-3.9682193690178121E-2</v>
      </c>
    </row>
    <row r="83" spans="1:15" ht="15" thickBot="1" x14ac:dyDescent="0.35">
      <c r="A83" s="1"/>
      <c r="B83" s="48"/>
      <c r="C83" s="49"/>
      <c r="D83" s="76"/>
      <c r="E83" s="284"/>
      <c r="F83" s="232"/>
      <c r="G83" s="284"/>
      <c r="H83" s="232"/>
      <c r="J83" s="76"/>
      <c r="K83" s="232"/>
      <c r="M83" s="76"/>
      <c r="N83" s="232"/>
    </row>
    <row r="84" spans="1:15" ht="15" thickBot="1" x14ac:dyDescent="0.35">
      <c r="A84" s="1"/>
      <c r="B84" s="208" t="s">
        <v>56</v>
      </c>
      <c r="C84" s="4"/>
      <c r="D84" s="9"/>
      <c r="E84" s="9"/>
      <c r="F84" s="9"/>
      <c r="G84" s="9"/>
      <c r="H84" s="9"/>
      <c r="J84" s="9"/>
      <c r="K84" s="296"/>
      <c r="M84" s="9"/>
      <c r="N84" s="296"/>
    </row>
    <row r="85" spans="1:15" x14ac:dyDescent="0.3">
      <c r="A85" s="1"/>
      <c r="B85" s="211" t="s">
        <v>74</v>
      </c>
      <c r="C85" s="3"/>
      <c r="D85" s="212">
        <v>3975.8900000000003</v>
      </c>
      <c r="E85" s="257">
        <v>13200</v>
      </c>
      <c r="F85" s="257">
        <v>11989.79</v>
      </c>
      <c r="G85" s="257">
        <v>7608.76</v>
      </c>
      <c r="H85" s="257">
        <f>+'NOT TO USE.'!E86</f>
        <v>9012.02</v>
      </c>
      <c r="J85" s="236">
        <f t="shared" ref="J85:J101" si="19">D85-F85</f>
        <v>-8013.9000000000005</v>
      </c>
      <c r="K85" s="305">
        <f t="shared" ref="K85:K101" si="20">+J85/F85</f>
        <v>-0.66839369163263074</v>
      </c>
      <c r="M85" s="236">
        <f t="shared" ref="M85:M101" si="21">D85-E85</f>
        <v>-9224.11</v>
      </c>
      <c r="N85" s="305">
        <f t="shared" ref="N85:N92" si="22">+M85/E85</f>
        <v>-0.69879621212121212</v>
      </c>
    </row>
    <row r="86" spans="1:15" x14ac:dyDescent="0.3">
      <c r="A86" s="1"/>
      <c r="B86" s="204" t="s">
        <v>75</v>
      </c>
      <c r="C86" s="3"/>
      <c r="D86" s="213">
        <v>23496.15</v>
      </c>
      <c r="E86" s="251">
        <v>18956.84</v>
      </c>
      <c r="F86" s="251">
        <v>11956.55</v>
      </c>
      <c r="G86" s="251">
        <v>4987.5</v>
      </c>
      <c r="H86" s="251">
        <f>+'NOT TO USE.'!E87</f>
        <v>6482.7699999999995</v>
      </c>
      <c r="J86" s="237">
        <f t="shared" si="19"/>
        <v>11539.600000000002</v>
      </c>
      <c r="K86" s="286">
        <f t="shared" si="20"/>
        <v>0.96512790060678066</v>
      </c>
      <c r="M86" s="237">
        <f t="shared" si="21"/>
        <v>4539.3100000000013</v>
      </c>
      <c r="N86" s="286">
        <f t="shared" si="22"/>
        <v>0.23945499355377803</v>
      </c>
    </row>
    <row r="87" spans="1:15" x14ac:dyDescent="0.3">
      <c r="A87" s="1"/>
      <c r="B87" s="204" t="s">
        <v>76</v>
      </c>
      <c r="C87" s="3"/>
      <c r="D87" s="213">
        <v>509417.01</v>
      </c>
      <c r="E87" s="251">
        <v>163812.60450000002</v>
      </c>
      <c r="F87" s="251">
        <v>205542.2</v>
      </c>
      <c r="G87" s="251">
        <v>187548.62</v>
      </c>
      <c r="H87" s="251">
        <f>+'NOT TO USE.'!E88</f>
        <v>131870.87</v>
      </c>
      <c r="J87" s="237">
        <f t="shared" si="19"/>
        <v>303874.81</v>
      </c>
      <c r="K87" s="286">
        <f t="shared" si="20"/>
        <v>1.4784059429158585</v>
      </c>
      <c r="M87" s="237">
        <f t="shared" si="21"/>
        <v>345604.40549999999</v>
      </c>
      <c r="N87" s="286">
        <f t="shared" si="22"/>
        <v>2.1097546587143112</v>
      </c>
      <c r="O87"/>
    </row>
    <row r="88" spans="1:15" x14ac:dyDescent="0.3">
      <c r="A88" s="1"/>
      <c r="B88" s="204" t="s">
        <v>78</v>
      </c>
      <c r="C88" s="3"/>
      <c r="D88" s="213">
        <v>0</v>
      </c>
      <c r="E88" s="251">
        <v>750</v>
      </c>
      <c r="F88" s="251"/>
      <c r="G88" s="251">
        <v>0</v>
      </c>
      <c r="H88" s="251">
        <f>+'NOT TO USE.'!E90</f>
        <v>85.32</v>
      </c>
      <c r="J88" s="237">
        <f t="shared" si="19"/>
        <v>0</v>
      </c>
      <c r="K88" s="286" t="e">
        <f t="shared" si="20"/>
        <v>#DIV/0!</v>
      </c>
      <c r="M88" s="237">
        <f t="shared" si="21"/>
        <v>-750</v>
      </c>
      <c r="N88" s="286">
        <f t="shared" si="22"/>
        <v>-1</v>
      </c>
    </row>
    <row r="89" spans="1:15" x14ac:dyDescent="0.3">
      <c r="A89" s="1"/>
      <c r="B89" s="204" t="s">
        <v>79</v>
      </c>
      <c r="C89" s="3"/>
      <c r="D89" s="213">
        <v>14752.650000000003</v>
      </c>
      <c r="E89" s="251">
        <v>20004</v>
      </c>
      <c r="F89" s="251">
        <v>19284.509999999998</v>
      </c>
      <c r="G89" s="251">
        <v>5677.94</v>
      </c>
      <c r="H89" s="251">
        <f>+'NOT TO USE.'!E91</f>
        <v>6272.31</v>
      </c>
      <c r="J89" s="237">
        <f t="shared" si="19"/>
        <v>-4531.8599999999951</v>
      </c>
      <c r="K89" s="286">
        <f t="shared" si="20"/>
        <v>-0.23500000777826324</v>
      </c>
      <c r="M89" s="237">
        <f t="shared" si="21"/>
        <v>-5251.3499999999967</v>
      </c>
      <c r="N89" s="286">
        <f t="shared" si="22"/>
        <v>-0.26251499700059971</v>
      </c>
    </row>
    <row r="90" spans="1:15" x14ac:dyDescent="0.3">
      <c r="A90" s="1"/>
      <c r="B90" s="204" t="s">
        <v>80</v>
      </c>
      <c r="C90" s="3"/>
      <c r="D90" s="213">
        <v>15235.180000000002</v>
      </c>
      <c r="E90" s="251">
        <v>13901.25</v>
      </c>
      <c r="F90" s="251">
        <v>15592.44</v>
      </c>
      <c r="G90" s="251">
        <v>19098.050000000003</v>
      </c>
      <c r="H90" s="251">
        <f>+'NOT TO USE.'!E92</f>
        <v>8584.42</v>
      </c>
      <c r="J90" s="237">
        <f t="shared" si="19"/>
        <v>-357.2599999999984</v>
      </c>
      <c r="K90" s="286">
        <f t="shared" si="20"/>
        <v>-2.2912385745912658E-2</v>
      </c>
      <c r="M90" s="237">
        <f t="shared" si="21"/>
        <v>1333.9300000000021</v>
      </c>
      <c r="N90" s="286">
        <f t="shared" si="22"/>
        <v>9.595755777358167E-2</v>
      </c>
    </row>
    <row r="91" spans="1:15" x14ac:dyDescent="0.3">
      <c r="A91" s="1"/>
      <c r="B91" s="204" t="s">
        <v>81</v>
      </c>
      <c r="C91" s="3"/>
      <c r="D91" s="213">
        <v>2677.2699999999995</v>
      </c>
      <c r="E91" s="251">
        <v>11085.615</v>
      </c>
      <c r="F91" s="251">
        <v>13157.759999999998</v>
      </c>
      <c r="G91" s="251">
        <v>11451.36</v>
      </c>
      <c r="H91" s="251">
        <f>+'NOT TO USE.'!E93</f>
        <v>34979.080000000009</v>
      </c>
      <c r="J91" s="237">
        <f t="shared" si="19"/>
        <v>-10480.489999999998</v>
      </c>
      <c r="K91" s="286">
        <f t="shared" si="20"/>
        <v>-0.79652539642005926</v>
      </c>
      <c r="M91" s="237">
        <f t="shared" si="21"/>
        <v>-8408.3450000000012</v>
      </c>
      <c r="N91" s="286">
        <f t="shared" si="22"/>
        <v>-0.75849152257227059</v>
      </c>
    </row>
    <row r="92" spans="1:15" x14ac:dyDescent="0.3">
      <c r="A92" s="1"/>
      <c r="B92" s="204" t="s">
        <v>82</v>
      </c>
      <c r="C92" s="3"/>
      <c r="D92" s="213">
        <v>995.32999999999993</v>
      </c>
      <c r="E92" s="251">
        <v>4999.9199999999992</v>
      </c>
      <c r="F92" s="251">
        <v>1263.8300000000002</v>
      </c>
      <c r="G92" s="251">
        <v>17469.599999999999</v>
      </c>
      <c r="H92" s="251">
        <f>+'NOT TO USE.'!E94</f>
        <v>2427.56</v>
      </c>
      <c r="J92" s="237">
        <f t="shared" si="19"/>
        <v>-268.50000000000023</v>
      </c>
      <c r="K92" s="286">
        <f t="shared" si="20"/>
        <v>-0.21244945918359287</v>
      </c>
      <c r="M92" s="237">
        <f t="shared" si="21"/>
        <v>-4004.5899999999992</v>
      </c>
      <c r="N92" s="286">
        <f t="shared" si="22"/>
        <v>-0.8009308148930383</v>
      </c>
    </row>
    <row r="93" spans="1:15" x14ac:dyDescent="0.3">
      <c r="A93" s="1"/>
      <c r="B93" s="204" t="s">
        <v>83</v>
      </c>
      <c r="C93" s="3"/>
      <c r="D93" s="213">
        <v>0</v>
      </c>
      <c r="E93" s="251">
        <v>0</v>
      </c>
      <c r="F93" s="251">
        <v>33003.65</v>
      </c>
      <c r="G93" s="251">
        <v>0.18000000000029104</v>
      </c>
      <c r="H93" s="251">
        <f>+'NOT TO USE.'!E95</f>
        <v>5416.24</v>
      </c>
      <c r="J93" s="237">
        <f t="shared" si="19"/>
        <v>-33003.65</v>
      </c>
      <c r="K93" s="286">
        <f t="shared" si="20"/>
        <v>-1</v>
      </c>
      <c r="M93" s="237">
        <f t="shared" si="21"/>
        <v>0</v>
      </c>
      <c r="N93" s="286">
        <v>0</v>
      </c>
    </row>
    <row r="94" spans="1:15" x14ac:dyDescent="0.3">
      <c r="A94" s="1"/>
      <c r="B94" s="204" t="s">
        <v>84</v>
      </c>
      <c r="C94" s="3"/>
      <c r="D94" s="213">
        <v>49880</v>
      </c>
      <c r="E94" s="251">
        <v>46715</v>
      </c>
      <c r="F94" s="251">
        <v>48562.5</v>
      </c>
      <c r="G94" s="251">
        <v>69433.75</v>
      </c>
      <c r="H94" s="251">
        <f>+'NOT TO USE.'!E96</f>
        <v>7665</v>
      </c>
      <c r="J94" s="237">
        <f t="shared" si="19"/>
        <v>1317.5</v>
      </c>
      <c r="K94" s="286">
        <f t="shared" si="20"/>
        <v>2.712998712998713E-2</v>
      </c>
      <c r="M94" s="237">
        <f t="shared" si="21"/>
        <v>3165</v>
      </c>
      <c r="N94" s="286">
        <f t="shared" ref="N94:N101" si="23">+M94/E94</f>
        <v>6.7751257626030181E-2</v>
      </c>
    </row>
    <row r="95" spans="1:15" x14ac:dyDescent="0.3">
      <c r="A95" s="1"/>
      <c r="B95" s="204" t="s">
        <v>85</v>
      </c>
      <c r="C95" s="3"/>
      <c r="D95" s="213">
        <v>38520</v>
      </c>
      <c r="E95" s="251">
        <v>39960</v>
      </c>
      <c r="F95" s="251">
        <v>39520</v>
      </c>
      <c r="G95" s="251">
        <v>32479.5</v>
      </c>
      <c r="H95" s="251">
        <f>+'NOT TO USE.'!E97</f>
        <v>17462</v>
      </c>
      <c r="J95" s="237">
        <f t="shared" si="19"/>
        <v>-1000</v>
      </c>
      <c r="K95" s="286">
        <f t="shared" si="20"/>
        <v>-2.5303643724696356E-2</v>
      </c>
      <c r="M95" s="237">
        <f t="shared" si="21"/>
        <v>-1440</v>
      </c>
      <c r="N95" s="286">
        <f t="shared" si="23"/>
        <v>-3.6036036036036036E-2</v>
      </c>
    </row>
    <row r="96" spans="1:15" x14ac:dyDescent="0.3">
      <c r="A96" s="1"/>
      <c r="B96" s="204" t="s">
        <v>61</v>
      </c>
      <c r="C96" s="3"/>
      <c r="D96" s="213">
        <v>5844.0399999999991</v>
      </c>
      <c r="E96" s="251">
        <v>4404</v>
      </c>
      <c r="F96" s="251">
        <v>4406.08</v>
      </c>
      <c r="G96" s="251">
        <v>1263.92</v>
      </c>
      <c r="H96" s="251">
        <f>+'NOT TO USE.'!E98</f>
        <v>790.07000000000016</v>
      </c>
      <c r="J96" s="237">
        <f t="shared" si="19"/>
        <v>1437.9599999999991</v>
      </c>
      <c r="K96" s="286">
        <f t="shared" si="20"/>
        <v>0.3263581233205024</v>
      </c>
      <c r="M96" s="237">
        <f t="shared" si="21"/>
        <v>1440.0399999999991</v>
      </c>
      <c r="N96" s="286">
        <f t="shared" si="23"/>
        <v>0.32698455949137128</v>
      </c>
    </row>
    <row r="97" spans="1:14" x14ac:dyDescent="0.3">
      <c r="A97" s="1"/>
      <c r="B97" s="204" t="s">
        <v>86</v>
      </c>
      <c r="C97" s="3"/>
      <c r="D97" s="213">
        <v>8021.25</v>
      </c>
      <c r="E97" s="251">
        <v>10403.666666666666</v>
      </c>
      <c r="F97" s="251">
        <v>15094.3</v>
      </c>
      <c r="G97" s="251">
        <v>7279.35</v>
      </c>
      <c r="H97" s="251">
        <f>+'NOT TO USE.'!E99</f>
        <v>5553.0499999999993</v>
      </c>
      <c r="J97" s="237">
        <f t="shared" si="19"/>
        <v>-7073.0499999999993</v>
      </c>
      <c r="K97" s="286">
        <f t="shared" si="20"/>
        <v>-0.46859079255083042</v>
      </c>
      <c r="M97" s="237">
        <f t="shared" si="21"/>
        <v>-2382.4166666666661</v>
      </c>
      <c r="N97" s="286">
        <f t="shared" si="23"/>
        <v>-0.22899778924097269</v>
      </c>
    </row>
    <row r="98" spans="1:14" x14ac:dyDescent="0.3">
      <c r="A98" s="1"/>
      <c r="B98" s="204" t="s">
        <v>87</v>
      </c>
      <c r="C98" s="3"/>
      <c r="D98" s="213">
        <v>42012.06</v>
      </c>
      <c r="E98" s="251">
        <v>38676</v>
      </c>
      <c r="F98" s="251">
        <v>38679.649999999994</v>
      </c>
      <c r="G98" s="251">
        <v>27220.519999999997</v>
      </c>
      <c r="H98" s="251">
        <f>+'NOT TO USE.'!E100</f>
        <v>33101.449999999997</v>
      </c>
      <c r="J98" s="237">
        <f t="shared" si="19"/>
        <v>3332.4100000000035</v>
      </c>
      <c r="K98" s="286">
        <f t="shared" si="20"/>
        <v>8.6154088777949236E-2</v>
      </c>
      <c r="M98" s="237">
        <f t="shared" si="21"/>
        <v>3336.0599999999977</v>
      </c>
      <c r="N98" s="286">
        <f t="shared" si="23"/>
        <v>8.6256593236115356E-2</v>
      </c>
    </row>
    <row r="99" spans="1:14" x14ac:dyDescent="0.3">
      <c r="A99" s="1"/>
      <c r="B99" s="204" t="s">
        <v>64</v>
      </c>
      <c r="C99" s="3"/>
      <c r="D99" s="213">
        <v>3004.0599999999995</v>
      </c>
      <c r="E99" s="251">
        <v>4920</v>
      </c>
      <c r="F99" s="251">
        <v>4918.95</v>
      </c>
      <c r="G99" s="251">
        <v>13057.630000000003</v>
      </c>
      <c r="H99" s="251">
        <f>+'NOT TO USE.'!E101</f>
        <v>4627.53</v>
      </c>
      <c r="J99" s="237">
        <f t="shared" si="19"/>
        <v>-1914.8900000000003</v>
      </c>
      <c r="K99" s="286">
        <f t="shared" si="20"/>
        <v>-0.38928836438670861</v>
      </c>
      <c r="M99" s="237">
        <f t="shared" si="21"/>
        <v>-1915.9400000000005</v>
      </c>
      <c r="N99" s="286">
        <f t="shared" si="23"/>
        <v>-0.38941869918699196</v>
      </c>
    </row>
    <row r="100" spans="1:14" x14ac:dyDescent="0.3">
      <c r="A100" s="1"/>
      <c r="B100" s="205" t="s">
        <v>88</v>
      </c>
      <c r="C100" s="3"/>
      <c r="D100" s="214">
        <v>58700.409999999996</v>
      </c>
      <c r="E100" s="254">
        <v>73040.400000000009</v>
      </c>
      <c r="F100" s="254">
        <v>80666.680000000008</v>
      </c>
      <c r="G100" s="254">
        <v>146369.31000000003</v>
      </c>
      <c r="H100" s="254">
        <f>+'NOT TO USE.'!E102</f>
        <v>150312.97</v>
      </c>
      <c r="J100" s="246">
        <f t="shared" si="19"/>
        <v>-21966.270000000011</v>
      </c>
      <c r="K100" s="288">
        <f t="shared" si="20"/>
        <v>-0.2723090872216386</v>
      </c>
      <c r="M100" s="246">
        <f t="shared" si="21"/>
        <v>-14339.990000000013</v>
      </c>
      <c r="N100" s="288">
        <f t="shared" si="23"/>
        <v>-0.19632956555550093</v>
      </c>
    </row>
    <row r="101" spans="1:14" ht="15" thickBot="1" x14ac:dyDescent="0.35">
      <c r="A101" s="1"/>
      <c r="B101" s="210" t="s">
        <v>67</v>
      </c>
      <c r="C101" s="4"/>
      <c r="D101" s="223">
        <f>SUM(D85:D100)</f>
        <v>776531.30000000016</v>
      </c>
      <c r="E101" s="259">
        <f>SUM(E85:E100)</f>
        <v>464829.29616666673</v>
      </c>
      <c r="F101" s="259">
        <f>SUM(F85:F100)</f>
        <v>543638.89</v>
      </c>
      <c r="G101" s="259">
        <v>550945.99</v>
      </c>
      <c r="H101" s="259">
        <f>SUM(H85:H100)</f>
        <v>424642.66000000003</v>
      </c>
      <c r="J101" s="241">
        <f t="shared" si="19"/>
        <v>232892.41000000015</v>
      </c>
      <c r="K101" s="292">
        <f t="shared" si="20"/>
        <v>0.42839541887814564</v>
      </c>
      <c r="M101" s="241">
        <f t="shared" si="21"/>
        <v>311702.00383333344</v>
      </c>
      <c r="N101" s="292">
        <f t="shared" si="23"/>
        <v>0.67057306069962341</v>
      </c>
    </row>
    <row r="102" spans="1:14" ht="15" thickBot="1" x14ac:dyDescent="0.35">
      <c r="A102" s="1"/>
      <c r="B102" s="48"/>
      <c r="C102" s="49"/>
      <c r="D102" s="76"/>
      <c r="E102" s="284"/>
      <c r="F102" s="232"/>
      <c r="G102" s="284"/>
      <c r="H102" s="232"/>
      <c r="J102" s="76"/>
      <c r="K102" s="232"/>
      <c r="M102" s="76"/>
      <c r="N102" s="232"/>
    </row>
    <row r="103" spans="1:14" ht="15" thickBot="1" x14ac:dyDescent="0.35">
      <c r="A103" s="1"/>
      <c r="B103" s="208" t="s">
        <v>68</v>
      </c>
      <c r="C103" s="4"/>
      <c r="D103" s="9"/>
      <c r="E103" s="9"/>
      <c r="F103" s="9"/>
      <c r="G103" s="9"/>
      <c r="H103" s="9"/>
      <c r="J103" s="9"/>
      <c r="K103" s="296"/>
      <c r="M103" s="9"/>
      <c r="N103" s="296"/>
    </row>
    <row r="104" spans="1:14" ht="15" thickBot="1" x14ac:dyDescent="0.35">
      <c r="A104" s="1"/>
      <c r="B104" s="220" t="s">
        <v>69</v>
      </c>
      <c r="C104" s="4"/>
      <c r="D104" s="380">
        <f>D82+D101</f>
        <v>1380588.2000000002</v>
      </c>
      <c r="E104" s="218">
        <f>E82+E101</f>
        <v>1093846.9984637713</v>
      </c>
      <c r="F104" s="217">
        <f>F82+F101</f>
        <v>1142248.6400000001</v>
      </c>
      <c r="G104" s="401">
        <v>1124972.82</v>
      </c>
      <c r="H104" s="219">
        <f>H82+H101</f>
        <v>917709.14999999991</v>
      </c>
      <c r="J104" s="244">
        <f>D104-F104</f>
        <v>238339.56000000006</v>
      </c>
      <c r="K104" s="307">
        <f>+J104/F104</f>
        <v>0.20865821297891851</v>
      </c>
      <c r="M104" s="244">
        <f>D104-E104</f>
        <v>286741.20153622888</v>
      </c>
      <c r="N104" s="307">
        <f>+M104/E104</f>
        <v>0.26214013654463197</v>
      </c>
    </row>
    <row r="105" spans="1:14" ht="15" thickBot="1" x14ac:dyDescent="0.35">
      <c r="A105" s="1"/>
      <c r="B105" s="48"/>
      <c r="C105" s="49"/>
      <c r="D105" s="76"/>
      <c r="E105" s="284"/>
      <c r="F105" s="232"/>
      <c r="G105" s="284"/>
      <c r="H105" s="232"/>
      <c r="J105" s="76"/>
      <c r="K105" s="232"/>
      <c r="M105" s="76"/>
      <c r="N105" s="232"/>
    </row>
    <row r="106" spans="1:14" ht="15" thickBot="1" x14ac:dyDescent="0.35">
      <c r="A106" s="1"/>
      <c r="B106" s="208" t="s">
        <v>89</v>
      </c>
      <c r="C106" s="4"/>
      <c r="D106" s="101"/>
      <c r="E106" s="101"/>
      <c r="F106" s="101"/>
      <c r="G106" s="101"/>
      <c r="H106" s="101"/>
      <c r="J106" s="101"/>
      <c r="K106" s="297"/>
      <c r="M106" s="101"/>
      <c r="N106" s="297"/>
    </row>
    <row r="107" spans="1:14" ht="15" thickBot="1" x14ac:dyDescent="0.35">
      <c r="A107" s="1"/>
      <c r="B107" s="48"/>
      <c r="C107" s="49"/>
      <c r="D107" s="103"/>
      <c r="E107" s="103"/>
      <c r="F107" s="103"/>
      <c r="G107" s="103"/>
      <c r="H107" s="103"/>
      <c r="J107" s="103"/>
      <c r="K107" s="295"/>
      <c r="M107" s="103"/>
      <c r="N107" s="295"/>
    </row>
    <row r="108" spans="1:14" ht="15" thickBot="1" x14ac:dyDescent="0.35">
      <c r="A108" s="1"/>
      <c r="B108" s="209" t="s">
        <v>48</v>
      </c>
      <c r="C108" s="4"/>
      <c r="D108" s="308" t="str">
        <f>D3</f>
        <v>ACTUAL 2024</v>
      </c>
      <c r="E108" s="308" t="str">
        <f>E3</f>
        <v>BUDGET 2024</v>
      </c>
      <c r="F108" s="308" t="str">
        <f>F3</f>
        <v>ACTUAL 2023</v>
      </c>
      <c r="G108" s="308" t="s">
        <v>231</v>
      </c>
      <c r="H108" s="351" t="str">
        <f>H3</f>
        <v>ACTUAL 2021</v>
      </c>
      <c r="J108" s="235" t="str">
        <f>+J$3</f>
        <v>B 2022 vs Act 2021</v>
      </c>
      <c r="K108" s="311" t="str">
        <f>+K$3</f>
        <v>%</v>
      </c>
      <c r="M108" s="235" t="str">
        <f>+M$3</f>
        <v>Act 2024 vs Bud 2024</v>
      </c>
      <c r="N108" s="311" t="str">
        <f>+N$3</f>
        <v>%</v>
      </c>
    </row>
    <row r="109" spans="1:14" x14ac:dyDescent="0.3">
      <c r="A109" s="1"/>
      <c r="B109" s="221" t="s">
        <v>19</v>
      </c>
      <c r="C109" s="3"/>
      <c r="D109" s="213">
        <v>190177.82</v>
      </c>
      <c r="E109" s="251">
        <v>197165.42316883965</v>
      </c>
      <c r="F109" s="251">
        <v>215743.05000000002</v>
      </c>
      <c r="G109" s="251">
        <v>213680.13000000003</v>
      </c>
      <c r="H109" s="251">
        <f>+'NOT TO USE.'!E111</f>
        <v>186520</v>
      </c>
      <c r="J109" s="237">
        <f t="shared" ref="J109:J116" si="24">D109-F109</f>
        <v>-25565.23000000001</v>
      </c>
      <c r="K109" s="286">
        <f t="shared" ref="K109:K114" si="25">+J109/F109</f>
        <v>-0.11849851014899442</v>
      </c>
      <c r="M109" s="237">
        <f t="shared" ref="M109:M116" si="26">D109-E109</f>
        <v>-6987.603168839647</v>
      </c>
      <c r="N109" s="286">
        <f t="shared" ref="N109:N114" si="27">+M109/E109</f>
        <v>-3.5440307212770861E-2</v>
      </c>
    </row>
    <row r="110" spans="1:14" x14ac:dyDescent="0.3">
      <c r="A110" s="1"/>
      <c r="B110" s="204" t="s">
        <v>50</v>
      </c>
      <c r="C110" s="3"/>
      <c r="D110" s="213">
        <v>27655.34</v>
      </c>
      <c r="E110" s="251">
        <v>25515.66607417553</v>
      </c>
      <c r="F110" s="251">
        <v>29360.98</v>
      </c>
      <c r="G110" s="251">
        <v>17985.91</v>
      </c>
      <c r="H110" s="251">
        <f>+'NOT TO USE.'!E112</f>
        <v>14926</v>
      </c>
      <c r="J110" s="237">
        <f t="shared" si="24"/>
        <v>-1705.6399999999994</v>
      </c>
      <c r="K110" s="286">
        <f t="shared" si="25"/>
        <v>-5.8092066409227469E-2</v>
      </c>
      <c r="M110" s="237">
        <f t="shared" si="26"/>
        <v>2139.6739258244706</v>
      </c>
      <c r="N110" s="286">
        <f t="shared" si="27"/>
        <v>8.3857263204664689E-2</v>
      </c>
    </row>
    <row r="111" spans="1:14" x14ac:dyDescent="0.3">
      <c r="A111" s="1"/>
      <c r="B111" s="204" t="s">
        <v>73</v>
      </c>
      <c r="C111" s="3"/>
      <c r="D111" s="213">
        <v>13635.49</v>
      </c>
      <c r="E111" s="251">
        <v>16830</v>
      </c>
      <c r="F111" s="251">
        <v>21179.170000000002</v>
      </c>
      <c r="G111" s="251">
        <v>17295.173999999995</v>
      </c>
      <c r="H111" s="251">
        <f>+'NOT TO USE.'!E113</f>
        <v>11964</v>
      </c>
      <c r="J111" s="237">
        <f t="shared" si="24"/>
        <v>-7543.6800000000021</v>
      </c>
      <c r="K111" s="286">
        <f t="shared" si="25"/>
        <v>-0.35618392977628499</v>
      </c>
      <c r="M111" s="237">
        <f t="shared" si="26"/>
        <v>-3194.51</v>
      </c>
      <c r="N111" s="286">
        <f t="shared" si="27"/>
        <v>-0.18981045751633988</v>
      </c>
    </row>
    <row r="112" spans="1:14" x14ac:dyDescent="0.3">
      <c r="A112" s="1"/>
      <c r="B112" s="204" t="s">
        <v>53</v>
      </c>
      <c r="C112" s="3"/>
      <c r="D112" s="213">
        <v>11399.53</v>
      </c>
      <c r="E112" s="251">
        <v>17926.439999999999</v>
      </c>
      <c r="F112" s="251">
        <v>17701.940000000002</v>
      </c>
      <c r="G112" s="251">
        <v>25249.540000000005</v>
      </c>
      <c r="H112" s="251">
        <f>+'NOT TO USE.'!E115</f>
        <v>21220</v>
      </c>
      <c r="J112" s="237">
        <f t="shared" si="24"/>
        <v>-6302.4100000000017</v>
      </c>
      <c r="K112" s="286">
        <f t="shared" si="25"/>
        <v>-0.35602933915717716</v>
      </c>
      <c r="M112" s="237">
        <f t="shared" si="26"/>
        <v>-6526.909999999998</v>
      </c>
      <c r="N112" s="286">
        <f t="shared" si="27"/>
        <v>-0.36409404209647867</v>
      </c>
    </row>
    <row r="113" spans="1:14" x14ac:dyDescent="0.3">
      <c r="A113" s="1"/>
      <c r="B113" s="204" t="s">
        <v>54</v>
      </c>
      <c r="C113" s="3"/>
      <c r="D113" s="213">
        <v>28415.930000000004</v>
      </c>
      <c r="E113" s="251">
        <v>22781.931560639307</v>
      </c>
      <c r="F113" s="251">
        <v>29435.289999999997</v>
      </c>
      <c r="G113" s="251">
        <v>21159.360000000001</v>
      </c>
      <c r="H113" s="251">
        <f>+'NOT TO USE.'!E116</f>
        <v>18527</v>
      </c>
      <c r="J113" s="237">
        <f t="shared" si="24"/>
        <v>-1019.3599999999933</v>
      </c>
      <c r="K113" s="286">
        <f t="shared" si="25"/>
        <v>-3.4630540415942677E-2</v>
      </c>
      <c r="M113" s="237">
        <f t="shared" si="26"/>
        <v>5633.9984393606974</v>
      </c>
      <c r="N113" s="286">
        <f t="shared" si="27"/>
        <v>0.24730117480884031</v>
      </c>
    </row>
    <row r="114" spans="1:14" x14ac:dyDescent="0.3">
      <c r="A114" s="1"/>
      <c r="B114" s="204" t="s">
        <v>90</v>
      </c>
      <c r="C114" s="3"/>
      <c r="D114" s="213">
        <v>-135642.05499999999</v>
      </c>
      <c r="E114" s="251">
        <v>-140109.73040182726</v>
      </c>
      <c r="F114" s="251">
        <v>-156710.39000000001</v>
      </c>
      <c r="G114" s="251">
        <v>-147686</v>
      </c>
      <c r="H114" s="251">
        <f>+'NOT TO USE.'!E117</f>
        <v>-126579</v>
      </c>
      <c r="J114" s="237">
        <f t="shared" si="24"/>
        <v>21068.335000000021</v>
      </c>
      <c r="K114" s="286">
        <f t="shared" si="25"/>
        <v>-0.1344412135021808</v>
      </c>
      <c r="M114" s="237">
        <f t="shared" si="26"/>
        <v>4467.6754018272622</v>
      </c>
      <c r="N114" s="286">
        <f t="shared" si="27"/>
        <v>-3.1886974509295014E-2</v>
      </c>
    </row>
    <row r="115" spans="1:14" x14ac:dyDescent="0.3">
      <c r="A115" s="1"/>
      <c r="B115" s="203"/>
      <c r="C115" s="4"/>
      <c r="D115" s="254"/>
      <c r="E115" s="254"/>
      <c r="F115" s="254"/>
      <c r="G115" s="254"/>
      <c r="H115" s="254"/>
      <c r="J115" s="246">
        <f t="shared" si="24"/>
        <v>0</v>
      </c>
      <c r="K115" s="288"/>
      <c r="M115" s="246">
        <f t="shared" si="26"/>
        <v>0</v>
      </c>
      <c r="N115" s="288"/>
    </row>
    <row r="116" spans="1:14" ht="15" thickBot="1" x14ac:dyDescent="0.35">
      <c r="A116" s="1"/>
      <c r="B116" s="206" t="s">
        <v>55</v>
      </c>
      <c r="C116" s="4"/>
      <c r="D116" s="223">
        <f>SUM(D109:D115)</f>
        <v>135642.05499999999</v>
      </c>
      <c r="E116" s="259">
        <f>SUM(E109:E115)</f>
        <v>140109.73040182726</v>
      </c>
      <c r="F116" s="259">
        <f>SUM(F109:F115)</f>
        <v>156710.03999999998</v>
      </c>
      <c r="G116" s="259">
        <v>147684.114</v>
      </c>
      <c r="H116" s="259">
        <f>SUM(H109:H115)</f>
        <v>126578</v>
      </c>
      <c r="J116" s="241">
        <f t="shared" si="24"/>
        <v>-21067.984999999986</v>
      </c>
      <c r="K116" s="292">
        <f>+J116/F116</f>
        <v>-0.13443928034221667</v>
      </c>
      <c r="M116" s="241">
        <f t="shared" si="26"/>
        <v>-4467.6754018272622</v>
      </c>
      <c r="N116" s="292">
        <f>+M116/E116</f>
        <v>-3.1886974509295014E-2</v>
      </c>
    </row>
    <row r="117" spans="1:14" ht="15" thickBot="1" x14ac:dyDescent="0.35">
      <c r="A117" s="1"/>
      <c r="B117" s="48"/>
      <c r="C117" s="49"/>
      <c r="D117" s="76"/>
      <c r="E117" s="76"/>
      <c r="F117" s="76"/>
      <c r="G117" s="76"/>
      <c r="H117" s="76"/>
      <c r="J117" s="76"/>
      <c r="K117" s="232"/>
      <c r="M117" s="76"/>
      <c r="N117" s="232"/>
    </row>
    <row r="118" spans="1:14" ht="15" thickBot="1" x14ac:dyDescent="0.35">
      <c r="A118" s="1"/>
      <c r="B118" s="208" t="s">
        <v>56</v>
      </c>
      <c r="C118" s="4"/>
      <c r="D118" s="9"/>
      <c r="E118" s="9"/>
      <c r="F118" s="9"/>
      <c r="G118" s="9"/>
      <c r="H118" s="9"/>
      <c r="J118" s="9"/>
      <c r="K118" s="296"/>
      <c r="M118" s="9"/>
      <c r="N118" s="296"/>
    </row>
    <row r="119" spans="1:14" x14ac:dyDescent="0.3">
      <c r="A119" s="3"/>
      <c r="B119" s="211" t="s">
        <v>91</v>
      </c>
      <c r="C119" s="3"/>
      <c r="D119" s="262">
        <v>73811.66</v>
      </c>
      <c r="E119" s="266">
        <v>65338</v>
      </c>
      <c r="F119" s="266">
        <v>81987.62999999999</v>
      </c>
      <c r="G119" s="266">
        <v>31677.01</v>
      </c>
      <c r="H119" s="266">
        <f>+'NOT TO USE.'!E122</f>
        <v>26296.329999999998</v>
      </c>
      <c r="J119" s="236">
        <f t="shared" ref="J119:J130" si="28">D119-F119</f>
        <v>-8175.9699999999866</v>
      </c>
      <c r="K119" s="305">
        <f t="shared" ref="K119:K130" si="29">+J119/F119</f>
        <v>-9.9721994647241144E-2</v>
      </c>
      <c r="M119" s="236">
        <f t="shared" ref="M119:M130" si="30">D119-E119</f>
        <v>8473.6600000000035</v>
      </c>
      <c r="N119" s="305">
        <f t="shared" ref="N119:N124" si="31">+M119/E119</f>
        <v>0.12968961400716281</v>
      </c>
    </row>
    <row r="120" spans="1:14" x14ac:dyDescent="0.3">
      <c r="A120" s="3"/>
      <c r="B120" s="204" t="s">
        <v>110</v>
      </c>
      <c r="C120" s="3"/>
      <c r="D120" s="263">
        <v>13525.96</v>
      </c>
      <c r="E120" s="255">
        <v>2988</v>
      </c>
      <c r="F120" s="255">
        <v>3484.25</v>
      </c>
      <c r="G120" s="255">
        <v>464.01</v>
      </c>
      <c r="H120" s="255">
        <f>+'NOT TO USE.'!E123</f>
        <v>0</v>
      </c>
      <c r="J120" s="237">
        <f t="shared" si="28"/>
        <v>10041.709999999999</v>
      </c>
      <c r="K120" s="286">
        <f t="shared" si="29"/>
        <v>2.8820291310899044</v>
      </c>
      <c r="M120" s="237">
        <f t="shared" si="30"/>
        <v>10537.96</v>
      </c>
      <c r="N120" s="286">
        <f t="shared" si="31"/>
        <v>3.5267603748326639</v>
      </c>
    </row>
    <row r="121" spans="1:14" x14ac:dyDescent="0.3">
      <c r="A121" s="3"/>
      <c r="B121" s="204" t="s">
        <v>92</v>
      </c>
      <c r="C121" s="3"/>
      <c r="D121" s="263">
        <v>20904.460000000003</v>
      </c>
      <c r="E121" s="255">
        <v>15966</v>
      </c>
      <c r="F121" s="255">
        <v>18286.98</v>
      </c>
      <c r="G121" s="255">
        <v>2162.2800000000002</v>
      </c>
      <c r="H121" s="255">
        <f>+'NOT TO USE.'!E124</f>
        <v>3272.86</v>
      </c>
      <c r="J121" s="237">
        <f t="shared" si="28"/>
        <v>2617.4800000000032</v>
      </c>
      <c r="K121" s="286">
        <f t="shared" si="29"/>
        <v>0.14313352997597215</v>
      </c>
      <c r="M121" s="237">
        <f t="shared" si="30"/>
        <v>4938.4600000000028</v>
      </c>
      <c r="N121" s="286">
        <f t="shared" si="31"/>
        <v>0.30931103595139692</v>
      </c>
    </row>
    <row r="122" spans="1:14" x14ac:dyDescent="0.3">
      <c r="A122" s="3"/>
      <c r="B122" s="204" t="s">
        <v>61</v>
      </c>
      <c r="C122" s="3"/>
      <c r="D122" s="263">
        <v>1781.4799999999998</v>
      </c>
      <c r="E122" s="255">
        <v>960</v>
      </c>
      <c r="F122" s="255">
        <v>813.98</v>
      </c>
      <c r="G122" s="255">
        <v>1541.46</v>
      </c>
      <c r="H122" s="255">
        <f>+'NOT TO USE.'!E125</f>
        <v>2368.2599999999993</v>
      </c>
      <c r="J122" s="237">
        <f t="shared" si="28"/>
        <v>967.49999999999977</v>
      </c>
      <c r="K122" s="286">
        <f t="shared" si="29"/>
        <v>1.1886041426079261</v>
      </c>
      <c r="M122" s="237">
        <f t="shared" si="30"/>
        <v>821.47999999999979</v>
      </c>
      <c r="N122" s="286">
        <f t="shared" si="31"/>
        <v>0.85570833333333307</v>
      </c>
    </row>
    <row r="123" spans="1:14" x14ac:dyDescent="0.3">
      <c r="A123" s="3"/>
      <c r="B123" s="222" t="s">
        <v>79</v>
      </c>
      <c r="C123" s="3"/>
      <c r="D123" s="263">
        <v>7318.17</v>
      </c>
      <c r="E123" s="162">
        <v>7740.0833333333339</v>
      </c>
      <c r="F123" s="162">
        <v>7740.97</v>
      </c>
      <c r="G123" s="162">
        <v>11805.970000000001</v>
      </c>
      <c r="H123" s="162">
        <f>+'NOT TO USE.'!E126</f>
        <v>0</v>
      </c>
      <c r="J123" s="237">
        <f t="shared" si="28"/>
        <v>-422.80000000000018</v>
      </c>
      <c r="K123" s="286">
        <f t="shared" si="29"/>
        <v>-5.4618478046033016E-2</v>
      </c>
      <c r="M123" s="237">
        <f t="shared" si="30"/>
        <v>-421.91333333333387</v>
      </c>
      <c r="N123" s="286">
        <f t="shared" si="31"/>
        <v>-5.4510179692294505E-2</v>
      </c>
    </row>
    <row r="124" spans="1:14" x14ac:dyDescent="0.3">
      <c r="A124" s="1"/>
      <c r="B124" s="204" t="s">
        <v>93</v>
      </c>
      <c r="C124" s="1"/>
      <c r="D124" s="263">
        <v>332642.25999999995</v>
      </c>
      <c r="E124" s="267">
        <v>320151</v>
      </c>
      <c r="F124" s="267">
        <v>431772.30159260193</v>
      </c>
      <c r="G124" s="267">
        <v>418600.15</v>
      </c>
      <c r="H124" s="267">
        <f>+'NOT TO USE.'!E127</f>
        <v>317687.77324644401</v>
      </c>
      <c r="J124" s="237">
        <f t="shared" si="28"/>
        <v>-99130.041592601978</v>
      </c>
      <c r="K124" s="286">
        <f t="shared" si="29"/>
        <v>-0.22958870040287108</v>
      </c>
      <c r="M124" s="237">
        <f t="shared" si="30"/>
        <v>12491.259999999951</v>
      </c>
      <c r="N124" s="286">
        <f t="shared" si="31"/>
        <v>3.9016776458608439E-2</v>
      </c>
    </row>
    <row r="125" spans="1:14" x14ac:dyDescent="0.3">
      <c r="A125" s="1"/>
      <c r="B125" s="204" t="s">
        <v>94</v>
      </c>
      <c r="C125" s="3"/>
      <c r="D125" s="263">
        <v>0</v>
      </c>
      <c r="E125" s="255">
        <v>0</v>
      </c>
      <c r="F125" s="255">
        <v>0</v>
      </c>
      <c r="G125" s="255">
        <v>0</v>
      </c>
      <c r="H125" s="255">
        <f>+'NOT TO USE.'!E128</f>
        <v>6085.5300000000007</v>
      </c>
      <c r="J125" s="237">
        <f t="shared" si="28"/>
        <v>0</v>
      </c>
      <c r="K125" s="286" t="e">
        <f t="shared" si="29"/>
        <v>#DIV/0!</v>
      </c>
      <c r="M125" s="237">
        <f t="shared" si="30"/>
        <v>0</v>
      </c>
      <c r="N125" s="286">
        <v>0</v>
      </c>
    </row>
    <row r="126" spans="1:14" x14ac:dyDescent="0.3">
      <c r="A126" s="1"/>
      <c r="B126" s="204" t="s">
        <v>90</v>
      </c>
      <c r="C126" s="1"/>
      <c r="D126" s="263">
        <v>-224991.995</v>
      </c>
      <c r="E126" s="267">
        <v>-206571.54166666669</v>
      </c>
      <c r="F126" s="267">
        <v>-270701.35000000021</v>
      </c>
      <c r="G126" s="267">
        <v>-233273.96</v>
      </c>
      <c r="H126" s="267">
        <f>+'NOT TO USE.'!E129</f>
        <v>-179139.06</v>
      </c>
      <c r="J126" s="237">
        <f t="shared" si="28"/>
        <v>45709.355000000214</v>
      </c>
      <c r="K126" s="286">
        <f t="shared" si="29"/>
        <v>-0.16885529015647754</v>
      </c>
      <c r="M126" s="237">
        <f t="shared" si="30"/>
        <v>-18420.453333333309</v>
      </c>
      <c r="N126" s="286">
        <f>+M126/E126</f>
        <v>8.9172270220345254E-2</v>
      </c>
    </row>
    <row r="127" spans="1:14" x14ac:dyDescent="0.3">
      <c r="A127" s="1"/>
      <c r="B127" s="204" t="s">
        <v>95</v>
      </c>
      <c r="C127" s="3"/>
      <c r="D127" s="263">
        <v>49500</v>
      </c>
      <c r="E127" s="255">
        <v>51300</v>
      </c>
      <c r="F127" s="255">
        <v>59621.95</v>
      </c>
      <c r="G127" s="255">
        <v>61008</v>
      </c>
      <c r="H127" s="255">
        <f>+'NOT TO USE.'!E130</f>
        <v>55780.185420000002</v>
      </c>
      <c r="J127" s="237">
        <f t="shared" si="28"/>
        <v>-10121.949999999997</v>
      </c>
      <c r="K127" s="286">
        <f t="shared" si="29"/>
        <v>-0.16976885190772859</v>
      </c>
      <c r="M127" s="237">
        <f t="shared" si="30"/>
        <v>-1800</v>
      </c>
      <c r="N127" s="286">
        <f>+M127/E127</f>
        <v>-3.5087719298245612E-2</v>
      </c>
    </row>
    <row r="128" spans="1:14" x14ac:dyDescent="0.3">
      <c r="A128" s="1"/>
      <c r="B128" s="204" t="s">
        <v>96</v>
      </c>
      <c r="C128" s="3"/>
      <c r="D128" s="264">
        <v>295</v>
      </c>
      <c r="E128" s="255">
        <v>3759.9599999999996</v>
      </c>
      <c r="F128" s="255">
        <v>3760.84</v>
      </c>
      <c r="G128" s="255">
        <v>10826.44</v>
      </c>
      <c r="H128" s="255">
        <f>+'NOT TO USE.'!E131</f>
        <v>530.4</v>
      </c>
      <c r="J128" s="237">
        <f t="shared" si="28"/>
        <v>-3465.84</v>
      </c>
      <c r="K128" s="286">
        <f t="shared" si="29"/>
        <v>-0.92156007700407361</v>
      </c>
      <c r="M128" s="237">
        <f t="shared" si="30"/>
        <v>-3464.9599999999996</v>
      </c>
      <c r="N128" s="286">
        <f>+M128/E128</f>
        <v>-0.92154171852892053</v>
      </c>
    </row>
    <row r="129" spans="1:14" x14ac:dyDescent="0.3">
      <c r="A129" s="1"/>
      <c r="B129" s="205" t="s">
        <v>97</v>
      </c>
      <c r="C129" s="3"/>
      <c r="D129" s="265">
        <v>11103.96</v>
      </c>
      <c r="E129" s="268">
        <v>11001.960000000001</v>
      </c>
      <c r="F129" s="268">
        <v>11732.32</v>
      </c>
      <c r="G129" s="268">
        <v>14063.41</v>
      </c>
      <c r="H129" s="268">
        <f>+'NOT TO USE.'!E132</f>
        <v>5404.85</v>
      </c>
      <c r="J129" s="246">
        <f t="shared" si="28"/>
        <v>-628.36000000000058</v>
      </c>
      <c r="K129" s="288">
        <f t="shared" si="29"/>
        <v>-5.355803455753002E-2</v>
      </c>
      <c r="M129" s="246">
        <f t="shared" si="30"/>
        <v>101.99999999999818</v>
      </c>
      <c r="N129" s="288">
        <f>+M129/E129</f>
        <v>9.2710753356672962E-3</v>
      </c>
    </row>
    <row r="130" spans="1:14" ht="15" thickBot="1" x14ac:dyDescent="0.35">
      <c r="A130" s="1"/>
      <c r="B130" s="210" t="s">
        <v>67</v>
      </c>
      <c r="C130" s="4"/>
      <c r="D130" s="223">
        <f>SUM(D119:D129)</f>
        <v>285890.95499999996</v>
      </c>
      <c r="E130" s="259">
        <f>SUM(E119:E129)</f>
        <v>272633.46166666661</v>
      </c>
      <c r="F130" s="259">
        <f>SUM(F119:F129)</f>
        <v>348499.8715926017</v>
      </c>
      <c r="G130" s="259">
        <v>318874.77</v>
      </c>
      <c r="H130" s="259">
        <f>SUM(H119:H129)</f>
        <v>238287.12866644404</v>
      </c>
      <c r="J130" s="241">
        <f t="shared" si="28"/>
        <v>-62608.916592601745</v>
      </c>
      <c r="K130" s="292">
        <f t="shared" si="29"/>
        <v>-0.17965262456622055</v>
      </c>
      <c r="M130" s="241">
        <f t="shared" si="30"/>
        <v>13257.493333333347</v>
      </c>
      <c r="N130" s="292">
        <f>+M130/E130</f>
        <v>4.8627535491378999E-2</v>
      </c>
    </row>
    <row r="131" spans="1:14" ht="15" thickBot="1" x14ac:dyDescent="0.35">
      <c r="A131" s="1"/>
      <c r="B131" s="48"/>
      <c r="C131" s="49"/>
      <c r="D131" s="57"/>
      <c r="E131" s="57"/>
      <c r="F131" s="57"/>
      <c r="G131" s="57"/>
      <c r="H131" s="57"/>
      <c r="J131" s="57"/>
      <c r="K131" s="232"/>
      <c r="M131" s="57"/>
      <c r="N131" s="232"/>
    </row>
    <row r="132" spans="1:14" ht="15" thickBot="1" x14ac:dyDescent="0.35">
      <c r="A132" s="1"/>
      <c r="B132" s="208" t="s">
        <v>68</v>
      </c>
      <c r="C132" s="4"/>
      <c r="D132" s="120"/>
      <c r="E132" s="120"/>
      <c r="F132" s="120"/>
      <c r="G132" s="120"/>
      <c r="H132" s="120"/>
      <c r="J132" s="120"/>
      <c r="K132" s="296"/>
      <c r="M132" s="120"/>
      <c r="N132" s="296"/>
    </row>
    <row r="133" spans="1:14" ht="15" thickBot="1" x14ac:dyDescent="0.35">
      <c r="A133" s="1"/>
      <c r="B133" s="220" t="s">
        <v>69</v>
      </c>
      <c r="C133" s="4"/>
      <c r="D133" s="380">
        <f>D116+D130</f>
        <v>421533.00999999995</v>
      </c>
      <c r="E133" s="218">
        <f>E116+E130</f>
        <v>412743.19206849387</v>
      </c>
      <c r="F133" s="217">
        <f>F116+F130</f>
        <v>505209.91159260168</v>
      </c>
      <c r="G133" s="401">
        <v>466558.88400000002</v>
      </c>
      <c r="H133" s="219">
        <f>H116+H130</f>
        <v>364865.12866644404</v>
      </c>
      <c r="J133" s="244">
        <f>D133-F133</f>
        <v>-83676.901592601731</v>
      </c>
      <c r="K133" s="307">
        <f>+J133/F133</f>
        <v>-0.16562798882710419</v>
      </c>
      <c r="M133" s="244">
        <f>D133-E133</f>
        <v>8789.8179315060843</v>
      </c>
      <c r="N133" s="307">
        <f>+M133/E133</f>
        <v>2.1296094279484645E-2</v>
      </c>
    </row>
    <row r="134" spans="1:14" x14ac:dyDescent="0.3">
      <c r="A134" s="1"/>
      <c r="B134" s="2"/>
      <c r="C134" s="4"/>
      <c r="D134" s="100"/>
      <c r="E134" s="100"/>
      <c r="F134" s="100"/>
      <c r="G134" s="100"/>
      <c r="H134" s="100"/>
      <c r="J134" s="100"/>
      <c r="K134" s="233"/>
      <c r="M134" s="100"/>
      <c r="N134" s="233"/>
    </row>
    <row r="135" spans="1:14" ht="15" thickBot="1" x14ac:dyDescent="0.35">
      <c r="A135" s="1"/>
      <c r="B135" s="48"/>
      <c r="C135" s="49"/>
      <c r="D135" s="76"/>
      <c r="E135" s="76"/>
      <c r="F135" s="76"/>
      <c r="G135" s="76"/>
      <c r="H135" s="76"/>
      <c r="J135" s="76"/>
      <c r="K135" s="232"/>
      <c r="M135" s="76"/>
      <c r="N135" s="232"/>
    </row>
    <row r="136" spans="1:14" ht="15" thickBot="1" x14ac:dyDescent="0.35">
      <c r="A136" s="1"/>
      <c r="B136" s="208" t="s">
        <v>98</v>
      </c>
      <c r="C136" s="4"/>
      <c r="D136" s="101"/>
      <c r="E136" s="101"/>
      <c r="F136" s="101"/>
      <c r="G136" s="101"/>
      <c r="H136" s="101"/>
      <c r="J136" s="101"/>
      <c r="K136" s="297"/>
      <c r="M136" s="101"/>
      <c r="N136" s="297"/>
    </row>
    <row r="137" spans="1:14" ht="15" thickBot="1" x14ac:dyDescent="0.35">
      <c r="A137" s="1"/>
      <c r="B137" s="48"/>
      <c r="C137" s="49"/>
      <c r="D137" s="103"/>
      <c r="E137" s="103"/>
      <c r="F137" s="103"/>
      <c r="G137" s="103"/>
      <c r="H137" s="103"/>
      <c r="J137" s="103"/>
      <c r="K137" s="295"/>
      <c r="M137" s="103"/>
      <c r="N137" s="295"/>
    </row>
    <row r="138" spans="1:14" ht="15" thickBot="1" x14ac:dyDescent="0.35">
      <c r="A138" s="1"/>
      <c r="B138" s="208" t="s">
        <v>48</v>
      </c>
      <c r="C138" s="4"/>
      <c r="D138" s="224" t="str">
        <f>D3</f>
        <v>ACTUAL 2024</v>
      </c>
      <c r="E138" s="224" t="str">
        <f>E3</f>
        <v>BUDGET 2024</v>
      </c>
      <c r="F138" s="224" t="str">
        <f>F3</f>
        <v>ACTUAL 2023</v>
      </c>
      <c r="G138" s="224" t="s">
        <v>231</v>
      </c>
      <c r="H138" s="224" t="str">
        <f>H3</f>
        <v>ACTUAL 2021</v>
      </c>
      <c r="J138" s="235" t="str">
        <f>+J$3</f>
        <v>B 2022 vs Act 2021</v>
      </c>
      <c r="K138" s="311" t="str">
        <f>+K$3</f>
        <v>%</v>
      </c>
      <c r="M138" s="235" t="str">
        <f>+M$3</f>
        <v>Act 2024 vs Bud 2024</v>
      </c>
      <c r="N138" s="311" t="str">
        <f>+N$3</f>
        <v>%</v>
      </c>
    </row>
    <row r="139" spans="1:14" x14ac:dyDescent="0.3">
      <c r="A139" s="1"/>
      <c r="B139" s="225" t="s">
        <v>99</v>
      </c>
      <c r="C139" s="3"/>
      <c r="D139" s="274">
        <v>57631.919999999991</v>
      </c>
      <c r="E139" s="280">
        <v>50451.974999999991</v>
      </c>
      <c r="F139" s="280"/>
      <c r="G139" s="280"/>
      <c r="H139" s="280"/>
      <c r="J139" s="245"/>
      <c r="K139" s="286"/>
      <c r="M139" s="245"/>
      <c r="N139" s="286"/>
    </row>
    <row r="140" spans="1:14" x14ac:dyDescent="0.3">
      <c r="A140" s="1"/>
      <c r="B140" s="203" t="s">
        <v>100</v>
      </c>
      <c r="C140" s="4"/>
      <c r="D140" s="275"/>
      <c r="E140" s="281"/>
      <c r="F140" s="281"/>
      <c r="G140" s="281"/>
      <c r="H140" s="281"/>
      <c r="J140" s="245"/>
      <c r="K140" s="286"/>
      <c r="M140" s="245"/>
      <c r="N140" s="286"/>
    </row>
    <row r="141" spans="1:14" x14ac:dyDescent="0.3">
      <c r="A141" s="1"/>
      <c r="B141" s="204"/>
      <c r="C141" s="3"/>
      <c r="D141" s="275"/>
      <c r="E141" s="281"/>
      <c r="F141" s="281"/>
      <c r="G141" s="281"/>
      <c r="H141" s="281"/>
      <c r="J141" s="245"/>
      <c r="K141" s="286"/>
      <c r="M141" s="245"/>
      <c r="N141" s="286"/>
    </row>
    <row r="142" spans="1:14" x14ac:dyDescent="0.3">
      <c r="A142" s="1"/>
      <c r="B142" s="204" t="s">
        <v>50</v>
      </c>
      <c r="C142" s="3"/>
      <c r="D142" s="275">
        <v>12188.82</v>
      </c>
      <c r="E142" s="281">
        <v>13135</v>
      </c>
      <c r="F142" s="281"/>
      <c r="G142" s="281"/>
      <c r="H142" s="281"/>
      <c r="J142" s="245"/>
      <c r="K142" s="286"/>
      <c r="M142" s="245"/>
      <c r="N142" s="286"/>
    </row>
    <row r="143" spans="1:14" x14ac:dyDescent="0.3">
      <c r="A143" s="1"/>
      <c r="B143" s="204" t="s">
        <v>73</v>
      </c>
      <c r="C143" s="3"/>
      <c r="D143" s="275">
        <v>4693.1499999999996</v>
      </c>
      <c r="E143" s="281">
        <v>10994.5</v>
      </c>
      <c r="F143" s="281"/>
      <c r="G143" s="281"/>
      <c r="H143" s="281"/>
      <c r="J143" s="245"/>
      <c r="K143" s="286"/>
      <c r="M143" s="245"/>
      <c r="N143" s="286"/>
    </row>
    <row r="144" spans="1:14" x14ac:dyDescent="0.3">
      <c r="A144" s="1"/>
      <c r="B144" s="204" t="s">
        <v>52</v>
      </c>
      <c r="C144" s="3"/>
      <c r="D144" s="275"/>
      <c r="E144" s="281"/>
      <c r="F144" s="281"/>
      <c r="G144" s="281"/>
      <c r="H144" s="281"/>
      <c r="J144" s="245"/>
      <c r="K144" s="286"/>
      <c r="M144" s="245"/>
      <c r="N144" s="286"/>
    </row>
    <row r="145" spans="1:14" x14ac:dyDescent="0.3">
      <c r="A145" s="1"/>
      <c r="B145" s="204" t="s">
        <v>53</v>
      </c>
      <c r="C145" s="3"/>
      <c r="D145" s="275"/>
      <c r="E145" s="281"/>
      <c r="F145" s="281"/>
      <c r="G145" s="281"/>
      <c r="H145" s="281"/>
      <c r="J145" s="245"/>
      <c r="K145" s="286"/>
      <c r="M145" s="245"/>
      <c r="N145" s="286"/>
    </row>
    <row r="146" spans="1:14" x14ac:dyDescent="0.3">
      <c r="A146" s="1"/>
      <c r="B146" s="226" t="s">
        <v>54</v>
      </c>
      <c r="C146" s="3"/>
      <c r="D146" s="276">
        <v>5867.32</v>
      </c>
      <c r="E146" s="282">
        <v>7570.3624500000005</v>
      </c>
      <c r="F146" s="282"/>
      <c r="G146" s="282"/>
      <c r="H146" s="282"/>
      <c r="J146" s="247"/>
      <c r="K146" s="288"/>
      <c r="M146" s="247"/>
      <c r="N146" s="288"/>
    </row>
    <row r="147" spans="1:14" x14ac:dyDescent="0.3">
      <c r="A147" s="1"/>
      <c r="B147" s="203" t="s">
        <v>101</v>
      </c>
      <c r="C147" s="4"/>
      <c r="D147" s="275"/>
      <c r="E147" s="281"/>
      <c r="F147" s="281"/>
      <c r="G147" s="281"/>
      <c r="H147" s="281"/>
      <c r="J147" s="245"/>
      <c r="K147" s="286"/>
      <c r="M147" s="245"/>
      <c r="N147" s="286"/>
    </row>
    <row r="148" spans="1:14" x14ac:dyDescent="0.3">
      <c r="A148" s="1"/>
      <c r="B148" s="227"/>
      <c r="C148" s="4"/>
      <c r="D148" s="275"/>
      <c r="E148" s="281"/>
      <c r="F148" s="281"/>
      <c r="G148" s="281"/>
      <c r="H148" s="281"/>
      <c r="J148" s="245"/>
      <c r="K148" s="286"/>
      <c r="M148" s="245"/>
      <c r="N148" s="286"/>
    </row>
    <row r="149" spans="1:14" x14ac:dyDescent="0.3">
      <c r="A149" s="1"/>
      <c r="B149" s="203" t="s">
        <v>102</v>
      </c>
      <c r="C149" s="4"/>
      <c r="D149" s="213">
        <f>SUM(D139:D146)</f>
        <v>80381.209999999992</v>
      </c>
      <c r="E149" s="213">
        <f>SUM(E139:E146)</f>
        <v>82151.837449999992</v>
      </c>
      <c r="F149" s="251">
        <v>91024</v>
      </c>
      <c r="G149" s="251">
        <v>84803</v>
      </c>
      <c r="H149" s="251">
        <f>+'NOT TO USE.'!E152</f>
        <v>69485</v>
      </c>
      <c r="J149" s="237">
        <f>D149-F149</f>
        <v>-10642.790000000008</v>
      </c>
      <c r="K149" s="286">
        <f>+J149/F149</f>
        <v>-0.11692289945508885</v>
      </c>
      <c r="M149" s="237">
        <f>D149-E149</f>
        <v>-1770.62745</v>
      </c>
      <c r="N149" s="286">
        <f>+M149/E149</f>
        <v>-2.1553108304822221E-2</v>
      </c>
    </row>
    <row r="150" spans="1:14" x14ac:dyDescent="0.3">
      <c r="A150" s="1"/>
      <c r="B150" s="204"/>
      <c r="C150" s="3"/>
      <c r="D150" s="275"/>
      <c r="E150" s="281"/>
      <c r="F150" s="281"/>
      <c r="G150" s="281"/>
      <c r="H150" s="281"/>
      <c r="J150" s="246">
        <f>D150-F150</f>
        <v>0</v>
      </c>
      <c r="K150" s="288" t="e">
        <f>+J150/F150</f>
        <v>#DIV/0!</v>
      </c>
      <c r="M150" s="246">
        <f>D150-E150</f>
        <v>0</v>
      </c>
      <c r="N150" s="288" t="e">
        <f>+M150/E150</f>
        <v>#DIV/0!</v>
      </c>
    </row>
    <row r="151" spans="1:14" ht="15" thickBot="1" x14ac:dyDescent="0.35">
      <c r="A151" s="1"/>
      <c r="B151" s="206" t="s">
        <v>55</v>
      </c>
      <c r="C151" s="4"/>
      <c r="D151" s="228">
        <f>D149</f>
        <v>80381.209999999992</v>
      </c>
      <c r="E151" s="228">
        <f>E149</f>
        <v>82151.837449999992</v>
      </c>
      <c r="F151" s="228">
        <f t="shared" ref="F151" si="32">F149</f>
        <v>91024</v>
      </c>
      <c r="G151" s="228">
        <v>84803</v>
      </c>
      <c r="H151" s="228">
        <f>H149</f>
        <v>69485</v>
      </c>
      <c r="J151" s="241">
        <f>D151-F151</f>
        <v>-10642.790000000008</v>
      </c>
      <c r="K151" s="292">
        <f>+J151/F151</f>
        <v>-0.11692289945508885</v>
      </c>
      <c r="M151" s="241">
        <f>D151-E151</f>
        <v>-1770.62745</v>
      </c>
      <c r="N151" s="292">
        <f>+M151/E151</f>
        <v>-2.1553108304822221E-2</v>
      </c>
    </row>
    <row r="152" spans="1:14" ht="15" thickBot="1" x14ac:dyDescent="0.35">
      <c r="A152" s="1"/>
      <c r="B152" s="48"/>
      <c r="C152" s="49"/>
      <c r="D152" s="57"/>
      <c r="E152" s="57"/>
      <c r="F152" s="57"/>
      <c r="G152" s="57"/>
      <c r="H152" s="57"/>
      <c r="J152" s="57"/>
      <c r="K152" s="232"/>
      <c r="M152" s="57"/>
      <c r="N152" s="232"/>
    </row>
    <row r="153" spans="1:14" ht="15" thickBot="1" x14ac:dyDescent="0.35">
      <c r="A153" s="1"/>
      <c r="B153" s="208" t="s">
        <v>56</v>
      </c>
      <c r="C153" s="4"/>
      <c r="D153" s="9"/>
      <c r="E153" s="9"/>
      <c r="F153" s="9"/>
      <c r="G153" s="9"/>
      <c r="H153" s="9"/>
      <c r="J153" s="9"/>
      <c r="K153" s="296"/>
      <c r="M153" s="9"/>
      <c r="N153" s="296"/>
    </row>
    <row r="154" spans="1:14" x14ac:dyDescent="0.3">
      <c r="A154" s="1"/>
      <c r="B154" s="211" t="s">
        <v>103</v>
      </c>
      <c r="C154" s="3"/>
      <c r="D154" s="212">
        <v>6000</v>
      </c>
      <c r="E154" s="257">
        <v>6000</v>
      </c>
      <c r="F154" s="257">
        <v>4500</v>
      </c>
      <c r="G154" s="257">
        <v>4500</v>
      </c>
      <c r="H154" s="257">
        <f>+'NOT TO USE.'!E157</f>
        <v>4500</v>
      </c>
      <c r="J154" s="236">
        <f>D154-F154</f>
        <v>1500</v>
      </c>
      <c r="K154" s="305"/>
      <c r="M154" s="236">
        <f>D154-E154</f>
        <v>0</v>
      </c>
      <c r="N154" s="305"/>
    </row>
    <row r="155" spans="1:14" x14ac:dyDescent="0.3">
      <c r="A155" s="1"/>
      <c r="B155" s="204" t="s">
        <v>104</v>
      </c>
      <c r="C155" s="3"/>
      <c r="D155" s="213"/>
      <c r="E155" s="251"/>
      <c r="F155" s="251"/>
      <c r="G155" s="251"/>
      <c r="H155" s="251"/>
      <c r="J155" s="237">
        <f>D155-F155</f>
        <v>0</v>
      </c>
      <c r="K155" s="286"/>
      <c r="M155" s="237">
        <f>D155-E155</f>
        <v>0</v>
      </c>
      <c r="N155" s="286"/>
    </row>
    <row r="156" spans="1:14" x14ac:dyDescent="0.3">
      <c r="A156" s="1"/>
      <c r="B156" s="204" t="s">
        <v>94</v>
      </c>
      <c r="C156" s="3"/>
      <c r="D156" s="213"/>
      <c r="E156" s="251">
        <v>0</v>
      </c>
      <c r="F156" s="251"/>
      <c r="G156" s="251">
        <v>321</v>
      </c>
      <c r="H156" s="251">
        <f>+'NOT TO USE.'!E159</f>
        <v>266.5</v>
      </c>
      <c r="J156" s="246">
        <f>D156-F156</f>
        <v>0</v>
      </c>
      <c r="K156" s="288" t="e">
        <f>+J156/F156</f>
        <v>#DIV/0!</v>
      </c>
      <c r="M156" s="246">
        <f>D156-E156</f>
        <v>0</v>
      </c>
      <c r="N156" s="288" t="e">
        <f>+M156/E156</f>
        <v>#DIV/0!</v>
      </c>
    </row>
    <row r="157" spans="1:14" ht="15" thickBot="1" x14ac:dyDescent="0.35">
      <c r="A157" s="1"/>
      <c r="B157" s="206" t="s">
        <v>67</v>
      </c>
      <c r="C157" s="4"/>
      <c r="D157" s="228">
        <f>SUM(D154:D156)</f>
        <v>6000</v>
      </c>
      <c r="E157" s="283">
        <f>SUM(E154:E156)</f>
        <v>6000</v>
      </c>
      <c r="F157" s="283">
        <f>SUM(F154:F156)</f>
        <v>4500</v>
      </c>
      <c r="G157" s="283">
        <v>4821</v>
      </c>
      <c r="H157" s="283">
        <f>SUM(H154:H156)</f>
        <v>4766.5</v>
      </c>
      <c r="J157" s="242">
        <f>D157-F157</f>
        <v>1500</v>
      </c>
      <c r="K157" s="306">
        <f>+J157/F157</f>
        <v>0.33333333333333331</v>
      </c>
      <c r="M157" s="242">
        <f>D157-E157</f>
        <v>0</v>
      </c>
      <c r="N157" s="306">
        <f>+M157/E157</f>
        <v>0</v>
      </c>
    </row>
    <row r="158" spans="1:14" ht="15" thickBot="1" x14ac:dyDescent="0.35">
      <c r="A158" s="1"/>
      <c r="B158" s="48"/>
      <c r="C158" s="49"/>
      <c r="D158" s="76"/>
      <c r="E158" s="76"/>
      <c r="F158" s="76"/>
      <c r="G158" s="76"/>
      <c r="H158" s="76"/>
      <c r="J158" s="76"/>
      <c r="K158" s="232"/>
      <c r="M158" s="76"/>
      <c r="N158" s="232"/>
    </row>
    <row r="159" spans="1:14" ht="15" thickBot="1" x14ac:dyDescent="0.35">
      <c r="A159" s="1"/>
      <c r="B159" s="208" t="s">
        <v>68</v>
      </c>
      <c r="C159" s="4"/>
      <c r="D159" s="9"/>
      <c r="E159" s="9"/>
      <c r="F159" s="9"/>
      <c r="G159" s="9"/>
      <c r="H159" s="9"/>
      <c r="J159" s="9"/>
      <c r="K159" s="296"/>
      <c r="M159" s="9"/>
      <c r="N159" s="296"/>
    </row>
    <row r="160" spans="1:14" ht="15" thickBot="1" x14ac:dyDescent="0.35">
      <c r="A160" s="1"/>
      <c r="B160" s="220" t="s">
        <v>69</v>
      </c>
      <c r="C160" s="4"/>
      <c r="D160" s="380">
        <f>D151+D157</f>
        <v>86381.209999999992</v>
      </c>
      <c r="E160" s="218">
        <f>E151+E157</f>
        <v>88151.837449999992</v>
      </c>
      <c r="F160" s="217">
        <f>F151+F157</f>
        <v>95524</v>
      </c>
      <c r="G160" s="401">
        <v>89624</v>
      </c>
      <c r="H160" s="219">
        <f>H151+H157</f>
        <v>74251.5</v>
      </c>
      <c r="J160" s="244">
        <f>D160-F160</f>
        <v>-9142.7900000000081</v>
      </c>
      <c r="K160" s="307">
        <f>+J160/F160</f>
        <v>-9.57119676730456E-2</v>
      </c>
      <c r="M160" s="244">
        <f>D160-E160</f>
        <v>-1770.62745</v>
      </c>
      <c r="N160" s="307">
        <f>+M160/E160</f>
        <v>-2.008610939056495E-2</v>
      </c>
    </row>
    <row r="161" spans="1:14" x14ac:dyDescent="0.3">
      <c r="A161" s="1"/>
      <c r="B161" s="2"/>
      <c r="C161" s="4"/>
      <c r="D161" s="100"/>
      <c r="E161" s="100"/>
      <c r="F161" s="100"/>
      <c r="G161" s="100"/>
      <c r="H161" s="100"/>
      <c r="J161" s="100"/>
      <c r="K161" s="233"/>
      <c r="M161" s="100"/>
      <c r="N161" s="233"/>
    </row>
    <row r="162" spans="1:14" ht="15" thickBot="1" x14ac:dyDescent="0.35">
      <c r="A162" s="1"/>
      <c r="B162" s="48"/>
      <c r="C162" s="49"/>
      <c r="D162" s="76"/>
      <c r="E162" s="76"/>
      <c r="F162" s="76"/>
      <c r="G162" s="76"/>
      <c r="H162" s="76"/>
      <c r="J162" s="76"/>
      <c r="K162" s="232"/>
      <c r="M162" s="76"/>
      <c r="N162" s="232"/>
    </row>
    <row r="163" spans="1:14" ht="15" thickBot="1" x14ac:dyDescent="0.35">
      <c r="A163" s="1"/>
      <c r="B163" s="208" t="s">
        <v>105</v>
      </c>
      <c r="C163" s="4"/>
      <c r="D163" s="101"/>
      <c r="E163" s="101"/>
      <c r="F163" s="101"/>
      <c r="G163" s="101"/>
      <c r="H163" s="101"/>
      <c r="J163" s="101"/>
      <c r="K163" s="297"/>
      <c r="M163" s="101"/>
      <c r="N163" s="297"/>
    </row>
    <row r="164" spans="1:14" ht="15" thickBot="1" x14ac:dyDescent="0.35">
      <c r="A164" s="1"/>
      <c r="B164" s="48"/>
      <c r="C164" s="49"/>
      <c r="D164" s="103"/>
      <c r="E164" s="103"/>
      <c r="F164" s="103"/>
      <c r="G164" s="103"/>
      <c r="H164" s="103"/>
      <c r="J164" s="103"/>
      <c r="K164" s="295"/>
      <c r="M164" s="103"/>
      <c r="N164" s="295"/>
    </row>
    <row r="165" spans="1:14" ht="15" thickBot="1" x14ac:dyDescent="0.35">
      <c r="A165" s="1"/>
      <c r="B165" s="209" t="s">
        <v>56</v>
      </c>
      <c r="C165" s="4"/>
      <c r="D165" s="308" t="str">
        <f>D3</f>
        <v>ACTUAL 2024</v>
      </c>
      <c r="E165" s="308" t="str">
        <f>E3</f>
        <v>BUDGET 2024</v>
      </c>
      <c r="F165" s="308" t="str">
        <f t="shared" ref="F165:H165" si="33">F3</f>
        <v>ACTUAL 2023</v>
      </c>
      <c r="G165" s="308" t="s">
        <v>231</v>
      </c>
      <c r="H165" s="351" t="str">
        <f t="shared" si="33"/>
        <v>ACTUAL 2021</v>
      </c>
      <c r="J165" s="235" t="str">
        <f>+J$3</f>
        <v>B 2022 vs Act 2021</v>
      </c>
      <c r="K165" s="311" t="str">
        <f>+K$3</f>
        <v>%</v>
      </c>
      <c r="M165" s="235" t="str">
        <f>+M$3</f>
        <v>Act 2024 vs Bud 2024</v>
      </c>
      <c r="N165" s="311" t="str">
        <f>+N$3</f>
        <v>%</v>
      </c>
    </row>
    <row r="166" spans="1:14" x14ac:dyDescent="0.3">
      <c r="A166" s="1"/>
      <c r="B166" s="204" t="s">
        <v>106</v>
      </c>
      <c r="C166" s="3"/>
      <c r="D166" s="213">
        <v>266388.82</v>
      </c>
      <c r="E166" s="251">
        <v>269780</v>
      </c>
      <c r="F166" s="251">
        <v>269621.87</v>
      </c>
      <c r="G166" s="251">
        <v>233809</v>
      </c>
      <c r="H166" s="251">
        <f>+'NOT TO USE.'!E169</f>
        <v>188395</v>
      </c>
      <c r="J166" s="237">
        <f>D166-F166</f>
        <v>-3233.0499999999884</v>
      </c>
      <c r="K166" s="286">
        <f>+J166/F166</f>
        <v>-1.1991052506237674E-2</v>
      </c>
      <c r="M166" s="237">
        <f>D166-E166</f>
        <v>-3391.179999999993</v>
      </c>
      <c r="N166" s="286">
        <f>+M166/E166</f>
        <v>-1.2570168285269454E-2</v>
      </c>
    </row>
    <row r="167" spans="1:14" x14ac:dyDescent="0.3">
      <c r="A167" s="1"/>
      <c r="B167" s="204" t="s">
        <v>107</v>
      </c>
      <c r="C167" s="3"/>
      <c r="D167" s="213">
        <v>80125.64</v>
      </c>
      <c r="E167" s="251">
        <v>74037</v>
      </c>
      <c r="F167" s="251">
        <v>76319.680000000008</v>
      </c>
      <c r="G167" s="251">
        <v>55328</v>
      </c>
      <c r="H167" s="251">
        <f>+'NOT TO USE.'!E170</f>
        <v>43291</v>
      </c>
      <c r="J167" s="237">
        <f>D167-F167</f>
        <v>3805.9599999999919</v>
      </c>
      <c r="K167" s="286">
        <f>+J167/F167</f>
        <v>4.9868657730220978E-2</v>
      </c>
      <c r="M167" s="237">
        <f>D167-E167</f>
        <v>6088.6399999999994</v>
      </c>
      <c r="N167" s="286">
        <f>+M167/E167</f>
        <v>8.2237800018909457E-2</v>
      </c>
    </row>
    <row r="168" spans="1:14" x14ac:dyDescent="0.3">
      <c r="A168" s="1"/>
      <c r="B168" s="204" t="s">
        <v>108</v>
      </c>
      <c r="C168" s="3"/>
      <c r="D168" s="213">
        <v>45676.1</v>
      </c>
      <c r="E168" s="251">
        <v>41120</v>
      </c>
      <c r="F168" s="251">
        <v>43827.47</v>
      </c>
      <c r="G168" s="251">
        <v>48651</v>
      </c>
      <c r="H168" s="251">
        <f>+'NOT TO USE.'!E171</f>
        <v>52006</v>
      </c>
      <c r="J168" s="246">
        <f>D168-F168</f>
        <v>1848.6299999999974</v>
      </c>
      <c r="K168" s="288">
        <f>+J168/F168</f>
        <v>4.2179710578776217E-2</v>
      </c>
      <c r="M168" s="246">
        <f>D168-E168</f>
        <v>4556.0999999999985</v>
      </c>
      <c r="N168" s="288">
        <f>+M168/E168</f>
        <v>0.11080009727626455</v>
      </c>
    </row>
    <row r="169" spans="1:14" ht="15" thickBot="1" x14ac:dyDescent="0.35">
      <c r="A169" s="1"/>
      <c r="B169" s="206" t="s">
        <v>67</v>
      </c>
      <c r="C169" s="4"/>
      <c r="D169" s="228">
        <f>SUM(D166:D168)</f>
        <v>392190.56</v>
      </c>
      <c r="E169" s="283">
        <f>SUM(E166:E168)</f>
        <v>384937</v>
      </c>
      <c r="F169" s="283">
        <f>SUM(F166:F168)</f>
        <v>389769.02</v>
      </c>
      <c r="G169" s="283">
        <v>337788</v>
      </c>
      <c r="H169" s="283">
        <f>SUM(H166:H168)</f>
        <v>283692</v>
      </c>
      <c r="J169" s="241">
        <f>D169-F169</f>
        <v>2421.539999999979</v>
      </c>
      <c r="K169" s="292">
        <f>+J169/F169</f>
        <v>6.2127564679203568E-3</v>
      </c>
      <c r="M169" s="241">
        <f>D169-E169</f>
        <v>7253.5599999999977</v>
      </c>
      <c r="N169" s="292">
        <f>+M169/E169</f>
        <v>1.8843499066080936E-2</v>
      </c>
    </row>
    <row r="170" spans="1:14" x14ac:dyDescent="0.3">
      <c r="A170" s="1"/>
      <c r="B170" s="48"/>
      <c r="C170" s="49"/>
      <c r="D170" s="76"/>
      <c r="E170" s="76"/>
      <c r="F170" s="76"/>
      <c r="G170" s="76"/>
      <c r="H170" s="76"/>
      <c r="J170" s="76"/>
      <c r="K170" s="232"/>
      <c r="M170" s="76"/>
      <c r="N170" s="232"/>
    </row>
  </sheetData>
  <pageMargins left="0.11811023622047245" right="0.11811023622047245" top="0.15748031496062992" bottom="0.15748031496062992" header="0.31496062992125984" footer="0.31496062992125984"/>
  <pageSetup scale="80" orientation="portrait" r:id="rId1"/>
  <rowBreaks count="1" manualBreakCount="1">
    <brk id="1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1EBDC-A5C8-4396-B020-92C17E53681B}">
  <sheetPr>
    <tabColor rgb="FFFF0000"/>
    <pageSetUpPr fitToPage="1"/>
  </sheetPr>
  <dimension ref="B2:F40"/>
  <sheetViews>
    <sheetView workbookViewId="0">
      <pane ySplit="6" topLeftCell="A7" activePane="bottomLeft" state="frozen"/>
      <selection pane="bottomLeft" activeCell="C13" sqref="C13"/>
    </sheetView>
  </sheetViews>
  <sheetFormatPr defaultRowHeight="14.4" x14ac:dyDescent="0.3"/>
  <cols>
    <col min="2" max="2" width="51.6640625" customWidth="1"/>
    <col min="3" max="4" width="11.6640625" customWidth="1"/>
    <col min="5" max="5" width="11.109375" customWidth="1"/>
    <col min="6" max="6" width="100.44140625" customWidth="1"/>
  </cols>
  <sheetData>
    <row r="2" spans="2:6" x14ac:dyDescent="0.3">
      <c r="B2" s="518" t="s">
        <v>461</v>
      </c>
    </row>
    <row r="3" spans="2:6" x14ac:dyDescent="0.3">
      <c r="B3" s="518" t="s">
        <v>440</v>
      </c>
    </row>
    <row r="4" spans="2:6" x14ac:dyDescent="0.3">
      <c r="C4" s="519" t="s">
        <v>441</v>
      </c>
      <c r="D4" s="519" t="s">
        <v>442</v>
      </c>
    </row>
    <row r="5" spans="2:6" x14ac:dyDescent="0.3">
      <c r="C5" s="519" t="s">
        <v>443</v>
      </c>
      <c r="D5" s="519" t="s">
        <v>443</v>
      </c>
    </row>
    <row r="6" spans="2:6" ht="15" thickBot="1" x14ac:dyDescent="0.35">
      <c r="B6" s="520" t="s">
        <v>444</v>
      </c>
      <c r="C6" s="521" t="s">
        <v>445</v>
      </c>
      <c r="D6" s="521" t="s">
        <v>445</v>
      </c>
      <c r="F6" s="528"/>
    </row>
    <row r="7" spans="2:6" x14ac:dyDescent="0.3">
      <c r="B7" t="s">
        <v>446</v>
      </c>
      <c r="C7" s="371">
        <v>375234</v>
      </c>
      <c r="D7" s="371"/>
      <c r="F7" s="528"/>
    </row>
    <row r="8" spans="2:6" x14ac:dyDescent="0.3">
      <c r="B8" t="s">
        <v>38</v>
      </c>
      <c r="C8" s="371">
        <f>14466+2828</f>
        <v>17294</v>
      </c>
      <c r="D8" s="371"/>
      <c r="F8" s="528"/>
    </row>
    <row r="9" spans="2:6" x14ac:dyDescent="0.3">
      <c r="B9" t="s">
        <v>448</v>
      </c>
      <c r="C9" s="371"/>
      <c r="D9" s="371">
        <f>-1881-821+1333</f>
        <v>-1369</v>
      </c>
      <c r="F9" s="528"/>
    </row>
    <row r="10" spans="2:6" x14ac:dyDescent="0.3">
      <c r="B10" t="s">
        <v>447</v>
      </c>
      <c r="C10">
        <f>-699+2349+6001</f>
        <v>7651</v>
      </c>
      <c r="D10" s="371"/>
    </row>
    <row r="11" spans="2:6" x14ac:dyDescent="0.3">
      <c r="C11" s="371"/>
      <c r="D11" s="371"/>
    </row>
    <row r="12" spans="2:6" x14ac:dyDescent="0.3">
      <c r="B12" s="362" t="s">
        <v>449</v>
      </c>
      <c r="C12" s="522">
        <f>SUM(C7:C10)</f>
        <v>400179</v>
      </c>
      <c r="D12" s="522">
        <f>SUM(D7:D10)</f>
        <v>-1369</v>
      </c>
      <c r="F12" s="371"/>
    </row>
    <row r="13" spans="2:6" x14ac:dyDescent="0.3">
      <c r="C13" s="371">
        <f>D12+C12</f>
        <v>398810</v>
      </c>
    </row>
    <row r="14" spans="2:6" x14ac:dyDescent="0.3">
      <c r="C14" s="371"/>
      <c r="D14" s="371"/>
    </row>
    <row r="15" spans="2:6" ht="15" thickBot="1" x14ac:dyDescent="0.35">
      <c r="B15" s="520" t="s">
        <v>450</v>
      </c>
      <c r="C15" s="521"/>
      <c r="D15" s="521"/>
    </row>
    <row r="16" spans="2:6" x14ac:dyDescent="0.3">
      <c r="B16" s="518"/>
      <c r="C16" s="519"/>
      <c r="D16" s="519"/>
    </row>
    <row r="17" spans="2:6" s="753" customFormat="1" ht="43.2" customHeight="1" x14ac:dyDescent="0.3">
      <c r="B17" s="753" t="s">
        <v>643</v>
      </c>
      <c r="C17" s="754">
        <f>-22295</f>
        <v>-22295</v>
      </c>
      <c r="F17" s="755"/>
    </row>
    <row r="18" spans="2:6" ht="13.95" customHeight="1" x14ac:dyDescent="0.3">
      <c r="B18" t="s">
        <v>613</v>
      </c>
      <c r="C18" s="371">
        <f>-4468</f>
        <v>-4468</v>
      </c>
      <c r="F18" s="371"/>
    </row>
    <row r="19" spans="2:6" ht="13.95" customHeight="1" x14ac:dyDescent="0.3">
      <c r="B19" t="s">
        <v>614</v>
      </c>
      <c r="C19" s="371">
        <v>-3391</v>
      </c>
      <c r="F19" s="371"/>
    </row>
    <row r="20" spans="2:6" ht="13.95" customHeight="1" x14ac:dyDescent="0.3">
      <c r="B20" t="s">
        <v>455</v>
      </c>
      <c r="C20" s="371">
        <f>-3465+102</f>
        <v>-3363</v>
      </c>
      <c r="F20" s="371"/>
    </row>
    <row r="21" spans="2:6" ht="13.95" customHeight="1" x14ac:dyDescent="0.3">
      <c r="B21" t="s">
        <v>462</v>
      </c>
      <c r="C21" s="371">
        <f>(3+12133-6936-248+4259-11877)</f>
        <v>-2666</v>
      </c>
    </row>
    <row r="22" spans="2:6" ht="13.95" customHeight="1" x14ac:dyDescent="0.3">
      <c r="B22" t="s">
        <v>464</v>
      </c>
      <c r="C22" s="371">
        <v>-1800</v>
      </c>
    </row>
    <row r="23" spans="2:6" ht="13.95" customHeight="1" x14ac:dyDescent="0.3">
      <c r="B23" t="s">
        <v>642</v>
      </c>
      <c r="C23" s="371">
        <v>-1771</v>
      </c>
      <c r="F23" s="371"/>
    </row>
    <row r="24" spans="2:6" ht="13.95" customHeight="1" x14ac:dyDescent="0.3">
      <c r="B24" t="s">
        <v>456</v>
      </c>
      <c r="C24" s="371">
        <v>-346</v>
      </c>
      <c r="F24" s="752" t="s">
        <v>656</v>
      </c>
    </row>
    <row r="25" spans="2:6" x14ac:dyDescent="0.3">
      <c r="B25" t="s">
        <v>463</v>
      </c>
      <c r="D25" s="371">
        <v>311702</v>
      </c>
      <c r="F25" s="752" t="s">
        <v>657</v>
      </c>
    </row>
    <row r="26" spans="2:6" s="753" customFormat="1" x14ac:dyDescent="0.3">
      <c r="B26" s="753" t="s">
        <v>451</v>
      </c>
      <c r="D26" s="754">
        <f>55828+70371</f>
        <v>126199</v>
      </c>
      <c r="F26" s="755"/>
    </row>
    <row r="27" spans="2:6" x14ac:dyDescent="0.3">
      <c r="B27" t="s">
        <v>640</v>
      </c>
      <c r="D27" s="371">
        <f>24350/2</f>
        <v>12175</v>
      </c>
      <c r="E27" s="371"/>
      <c r="F27" s="371"/>
    </row>
    <row r="28" spans="2:6" x14ac:dyDescent="0.3">
      <c r="B28" t="s">
        <v>641</v>
      </c>
      <c r="C28" s="371"/>
      <c r="D28" s="371">
        <f>12491/2</f>
        <v>6245.5</v>
      </c>
      <c r="F28" s="528"/>
    </row>
    <row r="29" spans="2:6" x14ac:dyDescent="0.3">
      <c r="B29" t="s">
        <v>615</v>
      </c>
      <c r="D29" s="371">
        <v>6089</v>
      </c>
      <c r="E29" s="371"/>
      <c r="F29" s="371"/>
    </row>
    <row r="30" spans="2:6" x14ac:dyDescent="0.3">
      <c r="B30" t="s">
        <v>616</v>
      </c>
      <c r="D30" s="371">
        <v>4556</v>
      </c>
      <c r="E30" s="371"/>
      <c r="F30" s="371"/>
    </row>
    <row r="31" spans="2:6" x14ac:dyDescent="0.3">
      <c r="D31" s="371"/>
      <c r="E31" s="371"/>
      <c r="F31" s="371"/>
    </row>
    <row r="32" spans="2:6" x14ac:dyDescent="0.3">
      <c r="B32" s="362" t="s">
        <v>459</v>
      </c>
      <c r="C32" s="522">
        <f>SUM(C17:C25)</f>
        <v>-40100</v>
      </c>
      <c r="D32" s="522">
        <f>SUM(D17:D30)</f>
        <v>466966.5</v>
      </c>
      <c r="F32" s="371"/>
    </row>
    <row r="33" spans="2:6" x14ac:dyDescent="0.3">
      <c r="D33" s="371">
        <f>C32+D32</f>
        <v>426866.5</v>
      </c>
    </row>
    <row r="34" spans="2:6" x14ac:dyDescent="0.3">
      <c r="C34" s="371"/>
      <c r="D34" s="371"/>
    </row>
    <row r="35" spans="2:6" x14ac:dyDescent="0.3">
      <c r="B35" s="362" t="s">
        <v>460</v>
      </c>
      <c r="C35" s="522">
        <f>C13-D33</f>
        <v>-28056.5</v>
      </c>
      <c r="D35" s="522"/>
      <c r="F35" s="371"/>
    </row>
    <row r="36" spans="2:6" x14ac:dyDescent="0.3">
      <c r="C36" s="371"/>
      <c r="D36" s="371"/>
    </row>
    <row r="37" spans="2:6" x14ac:dyDescent="0.3">
      <c r="C37" s="371"/>
      <c r="D37" s="371"/>
    </row>
    <row r="38" spans="2:6" x14ac:dyDescent="0.3">
      <c r="C38" s="371"/>
      <c r="D38" s="371"/>
    </row>
    <row r="39" spans="2:6" x14ac:dyDescent="0.3">
      <c r="C39" s="371"/>
      <c r="D39" s="371"/>
    </row>
    <row r="40" spans="2:6" x14ac:dyDescent="0.3">
      <c r="C40" s="371"/>
      <c r="D40" s="371"/>
    </row>
  </sheetData>
  <sortState xmlns:xlrd2="http://schemas.microsoft.com/office/spreadsheetml/2017/richdata2" ref="B26:D29">
    <sortCondition descending="1" ref="D26:D29"/>
  </sortState>
  <pageMargins left="0.7" right="0.7" top="0.75" bottom="0.75" header="0.3" footer="0.3"/>
  <pageSetup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C3A64-D15B-4917-A905-B6BC2D73176C}">
  <dimension ref="A1:N65"/>
  <sheetViews>
    <sheetView zoomScale="110" zoomScaleNormal="110" workbookViewId="0">
      <selection activeCell="F5" sqref="F5"/>
    </sheetView>
  </sheetViews>
  <sheetFormatPr defaultColWidth="9.109375" defaultRowHeight="14.4" x14ac:dyDescent="0.25"/>
  <cols>
    <col min="1" max="1" width="12.6640625" style="312" customWidth="1"/>
    <col min="2" max="2" width="43.44140625" style="312" customWidth="1"/>
    <col min="3" max="3" width="14.6640625" style="312" hidden="1" customWidth="1"/>
    <col min="4" max="4" width="16.33203125" style="312" hidden="1" customWidth="1"/>
    <col min="5" max="5" width="19.44140625" style="312" hidden="1" customWidth="1"/>
    <col min="6" max="7" width="14.6640625" style="405" customWidth="1"/>
    <col min="8" max="8" width="21.88671875" style="313" customWidth="1"/>
    <col min="9" max="9" width="15.5546875" style="313" customWidth="1"/>
    <col min="10" max="10" width="35.6640625" style="313" customWidth="1"/>
    <col min="11" max="256" width="9.109375" style="313"/>
    <col min="257" max="257" width="12.6640625" style="313" customWidth="1"/>
    <col min="258" max="258" width="43.44140625" style="313" customWidth="1"/>
    <col min="259" max="261" width="0" style="313" hidden="1" customWidth="1"/>
    <col min="262" max="263" width="14.6640625" style="313" customWidth="1"/>
    <col min="264" max="264" width="21.88671875" style="313" customWidth="1"/>
    <col min="265" max="265" width="15.5546875" style="313" customWidth="1"/>
    <col min="266" max="266" width="35.6640625" style="313" customWidth="1"/>
    <col min="267" max="512" width="9.109375" style="313"/>
    <col min="513" max="513" width="12.6640625" style="313" customWidth="1"/>
    <col min="514" max="514" width="43.44140625" style="313" customWidth="1"/>
    <col min="515" max="517" width="0" style="313" hidden="1" customWidth="1"/>
    <col min="518" max="519" width="14.6640625" style="313" customWidth="1"/>
    <col min="520" max="520" width="21.88671875" style="313" customWidth="1"/>
    <col min="521" max="521" width="15.5546875" style="313" customWidth="1"/>
    <col min="522" max="522" width="35.6640625" style="313" customWidth="1"/>
    <col min="523" max="768" width="9.109375" style="313"/>
    <col min="769" max="769" width="12.6640625" style="313" customWidth="1"/>
    <col min="770" max="770" width="43.44140625" style="313" customWidth="1"/>
    <col min="771" max="773" width="0" style="313" hidden="1" customWidth="1"/>
    <col min="774" max="775" width="14.6640625" style="313" customWidth="1"/>
    <col min="776" max="776" width="21.88671875" style="313" customWidth="1"/>
    <col min="777" max="777" width="15.5546875" style="313" customWidth="1"/>
    <col min="778" max="778" width="35.6640625" style="313" customWidth="1"/>
    <col min="779" max="1024" width="9.109375" style="313"/>
    <col min="1025" max="1025" width="12.6640625" style="313" customWidth="1"/>
    <col min="1026" max="1026" width="43.44140625" style="313" customWidth="1"/>
    <col min="1027" max="1029" width="0" style="313" hidden="1" customWidth="1"/>
    <col min="1030" max="1031" width="14.6640625" style="313" customWidth="1"/>
    <col min="1032" max="1032" width="21.88671875" style="313" customWidth="1"/>
    <col min="1033" max="1033" width="15.5546875" style="313" customWidth="1"/>
    <col min="1034" max="1034" width="35.6640625" style="313" customWidth="1"/>
    <col min="1035" max="1280" width="9.109375" style="313"/>
    <col min="1281" max="1281" width="12.6640625" style="313" customWidth="1"/>
    <col min="1282" max="1282" width="43.44140625" style="313" customWidth="1"/>
    <col min="1283" max="1285" width="0" style="313" hidden="1" customWidth="1"/>
    <col min="1286" max="1287" width="14.6640625" style="313" customWidth="1"/>
    <col min="1288" max="1288" width="21.88671875" style="313" customWidth="1"/>
    <col min="1289" max="1289" width="15.5546875" style="313" customWidth="1"/>
    <col min="1290" max="1290" width="35.6640625" style="313" customWidth="1"/>
    <col min="1291" max="1536" width="9.109375" style="313"/>
    <col min="1537" max="1537" width="12.6640625" style="313" customWidth="1"/>
    <col min="1538" max="1538" width="43.44140625" style="313" customWidth="1"/>
    <col min="1539" max="1541" width="0" style="313" hidden="1" customWidth="1"/>
    <col min="1542" max="1543" width="14.6640625" style="313" customWidth="1"/>
    <col min="1544" max="1544" width="21.88671875" style="313" customWidth="1"/>
    <col min="1545" max="1545" width="15.5546875" style="313" customWidth="1"/>
    <col min="1546" max="1546" width="35.6640625" style="313" customWidth="1"/>
    <col min="1547" max="1792" width="9.109375" style="313"/>
    <col min="1793" max="1793" width="12.6640625" style="313" customWidth="1"/>
    <col min="1794" max="1794" width="43.44140625" style="313" customWidth="1"/>
    <col min="1795" max="1797" width="0" style="313" hidden="1" customWidth="1"/>
    <col min="1798" max="1799" width="14.6640625" style="313" customWidth="1"/>
    <col min="1800" max="1800" width="21.88671875" style="313" customWidth="1"/>
    <col min="1801" max="1801" width="15.5546875" style="313" customWidth="1"/>
    <col min="1802" max="1802" width="35.6640625" style="313" customWidth="1"/>
    <col min="1803" max="2048" width="9.109375" style="313"/>
    <col min="2049" max="2049" width="12.6640625" style="313" customWidth="1"/>
    <col min="2050" max="2050" width="43.44140625" style="313" customWidth="1"/>
    <col min="2051" max="2053" width="0" style="313" hidden="1" customWidth="1"/>
    <col min="2054" max="2055" width="14.6640625" style="313" customWidth="1"/>
    <col min="2056" max="2056" width="21.88671875" style="313" customWidth="1"/>
    <col min="2057" max="2057" width="15.5546875" style="313" customWidth="1"/>
    <col min="2058" max="2058" width="35.6640625" style="313" customWidth="1"/>
    <col min="2059" max="2304" width="9.109375" style="313"/>
    <col min="2305" max="2305" width="12.6640625" style="313" customWidth="1"/>
    <col min="2306" max="2306" width="43.44140625" style="313" customWidth="1"/>
    <col min="2307" max="2309" width="0" style="313" hidden="1" customWidth="1"/>
    <col min="2310" max="2311" width="14.6640625" style="313" customWidth="1"/>
    <col min="2312" max="2312" width="21.88671875" style="313" customWidth="1"/>
    <col min="2313" max="2313" width="15.5546875" style="313" customWidth="1"/>
    <col min="2314" max="2314" width="35.6640625" style="313" customWidth="1"/>
    <col min="2315" max="2560" width="9.109375" style="313"/>
    <col min="2561" max="2561" width="12.6640625" style="313" customWidth="1"/>
    <col min="2562" max="2562" width="43.44140625" style="313" customWidth="1"/>
    <col min="2563" max="2565" width="0" style="313" hidden="1" customWidth="1"/>
    <col min="2566" max="2567" width="14.6640625" style="313" customWidth="1"/>
    <col min="2568" max="2568" width="21.88671875" style="313" customWidth="1"/>
    <col min="2569" max="2569" width="15.5546875" style="313" customWidth="1"/>
    <col min="2570" max="2570" width="35.6640625" style="313" customWidth="1"/>
    <col min="2571" max="2816" width="9.109375" style="313"/>
    <col min="2817" max="2817" width="12.6640625" style="313" customWidth="1"/>
    <col min="2818" max="2818" width="43.44140625" style="313" customWidth="1"/>
    <col min="2819" max="2821" width="0" style="313" hidden="1" customWidth="1"/>
    <col min="2822" max="2823" width="14.6640625" style="313" customWidth="1"/>
    <col min="2824" max="2824" width="21.88671875" style="313" customWidth="1"/>
    <col min="2825" max="2825" width="15.5546875" style="313" customWidth="1"/>
    <col min="2826" max="2826" width="35.6640625" style="313" customWidth="1"/>
    <col min="2827" max="3072" width="9.109375" style="313"/>
    <col min="3073" max="3073" width="12.6640625" style="313" customWidth="1"/>
    <col min="3074" max="3074" width="43.44140625" style="313" customWidth="1"/>
    <col min="3075" max="3077" width="0" style="313" hidden="1" customWidth="1"/>
    <col min="3078" max="3079" width="14.6640625" style="313" customWidth="1"/>
    <col min="3080" max="3080" width="21.88671875" style="313" customWidth="1"/>
    <col min="3081" max="3081" width="15.5546875" style="313" customWidth="1"/>
    <col min="3082" max="3082" width="35.6640625" style="313" customWidth="1"/>
    <col min="3083" max="3328" width="9.109375" style="313"/>
    <col min="3329" max="3329" width="12.6640625" style="313" customWidth="1"/>
    <col min="3330" max="3330" width="43.44140625" style="313" customWidth="1"/>
    <col min="3331" max="3333" width="0" style="313" hidden="1" customWidth="1"/>
    <col min="3334" max="3335" width="14.6640625" style="313" customWidth="1"/>
    <col min="3336" max="3336" width="21.88671875" style="313" customWidth="1"/>
    <col min="3337" max="3337" width="15.5546875" style="313" customWidth="1"/>
    <col min="3338" max="3338" width="35.6640625" style="313" customWidth="1"/>
    <col min="3339" max="3584" width="9.109375" style="313"/>
    <col min="3585" max="3585" width="12.6640625" style="313" customWidth="1"/>
    <col min="3586" max="3586" width="43.44140625" style="313" customWidth="1"/>
    <col min="3587" max="3589" width="0" style="313" hidden="1" customWidth="1"/>
    <col min="3590" max="3591" width="14.6640625" style="313" customWidth="1"/>
    <col min="3592" max="3592" width="21.88671875" style="313" customWidth="1"/>
    <col min="3593" max="3593" width="15.5546875" style="313" customWidth="1"/>
    <col min="3594" max="3594" width="35.6640625" style="313" customWidth="1"/>
    <col min="3595" max="3840" width="9.109375" style="313"/>
    <col min="3841" max="3841" width="12.6640625" style="313" customWidth="1"/>
    <col min="3842" max="3842" width="43.44140625" style="313" customWidth="1"/>
    <col min="3843" max="3845" width="0" style="313" hidden="1" customWidth="1"/>
    <col min="3846" max="3847" width="14.6640625" style="313" customWidth="1"/>
    <col min="3848" max="3848" width="21.88671875" style="313" customWidth="1"/>
    <col min="3849" max="3849" width="15.5546875" style="313" customWidth="1"/>
    <col min="3850" max="3850" width="35.6640625" style="313" customWidth="1"/>
    <col min="3851" max="4096" width="9.109375" style="313"/>
    <col min="4097" max="4097" width="12.6640625" style="313" customWidth="1"/>
    <col min="4098" max="4098" width="43.44140625" style="313" customWidth="1"/>
    <col min="4099" max="4101" width="0" style="313" hidden="1" customWidth="1"/>
    <col min="4102" max="4103" width="14.6640625" style="313" customWidth="1"/>
    <col min="4104" max="4104" width="21.88671875" style="313" customWidth="1"/>
    <col min="4105" max="4105" width="15.5546875" style="313" customWidth="1"/>
    <col min="4106" max="4106" width="35.6640625" style="313" customWidth="1"/>
    <col min="4107" max="4352" width="9.109375" style="313"/>
    <col min="4353" max="4353" width="12.6640625" style="313" customWidth="1"/>
    <col min="4354" max="4354" width="43.44140625" style="313" customWidth="1"/>
    <col min="4355" max="4357" width="0" style="313" hidden="1" customWidth="1"/>
    <col min="4358" max="4359" width="14.6640625" style="313" customWidth="1"/>
    <col min="4360" max="4360" width="21.88671875" style="313" customWidth="1"/>
    <col min="4361" max="4361" width="15.5546875" style="313" customWidth="1"/>
    <col min="4362" max="4362" width="35.6640625" style="313" customWidth="1"/>
    <col min="4363" max="4608" width="9.109375" style="313"/>
    <col min="4609" max="4609" width="12.6640625" style="313" customWidth="1"/>
    <col min="4610" max="4610" width="43.44140625" style="313" customWidth="1"/>
    <col min="4611" max="4613" width="0" style="313" hidden="1" customWidth="1"/>
    <col min="4614" max="4615" width="14.6640625" style="313" customWidth="1"/>
    <col min="4616" max="4616" width="21.88671875" style="313" customWidth="1"/>
    <col min="4617" max="4617" width="15.5546875" style="313" customWidth="1"/>
    <col min="4618" max="4618" width="35.6640625" style="313" customWidth="1"/>
    <col min="4619" max="4864" width="9.109375" style="313"/>
    <col min="4865" max="4865" width="12.6640625" style="313" customWidth="1"/>
    <col min="4866" max="4866" width="43.44140625" style="313" customWidth="1"/>
    <col min="4867" max="4869" width="0" style="313" hidden="1" customWidth="1"/>
    <col min="4870" max="4871" width="14.6640625" style="313" customWidth="1"/>
    <col min="4872" max="4872" width="21.88671875" style="313" customWidth="1"/>
    <col min="4873" max="4873" width="15.5546875" style="313" customWidth="1"/>
    <col min="4874" max="4874" width="35.6640625" style="313" customWidth="1"/>
    <col min="4875" max="5120" width="9.109375" style="313"/>
    <col min="5121" max="5121" width="12.6640625" style="313" customWidth="1"/>
    <col min="5122" max="5122" width="43.44140625" style="313" customWidth="1"/>
    <col min="5123" max="5125" width="0" style="313" hidden="1" customWidth="1"/>
    <col min="5126" max="5127" width="14.6640625" style="313" customWidth="1"/>
    <col min="5128" max="5128" width="21.88671875" style="313" customWidth="1"/>
    <col min="5129" max="5129" width="15.5546875" style="313" customWidth="1"/>
    <col min="5130" max="5130" width="35.6640625" style="313" customWidth="1"/>
    <col min="5131" max="5376" width="9.109375" style="313"/>
    <col min="5377" max="5377" width="12.6640625" style="313" customWidth="1"/>
    <col min="5378" max="5378" width="43.44140625" style="313" customWidth="1"/>
    <col min="5379" max="5381" width="0" style="313" hidden="1" customWidth="1"/>
    <col min="5382" max="5383" width="14.6640625" style="313" customWidth="1"/>
    <col min="5384" max="5384" width="21.88671875" style="313" customWidth="1"/>
    <col min="5385" max="5385" width="15.5546875" style="313" customWidth="1"/>
    <col min="5386" max="5386" width="35.6640625" style="313" customWidth="1"/>
    <col min="5387" max="5632" width="9.109375" style="313"/>
    <col min="5633" max="5633" width="12.6640625" style="313" customWidth="1"/>
    <col min="5634" max="5634" width="43.44140625" style="313" customWidth="1"/>
    <col min="5635" max="5637" width="0" style="313" hidden="1" customWidth="1"/>
    <col min="5638" max="5639" width="14.6640625" style="313" customWidth="1"/>
    <col min="5640" max="5640" width="21.88671875" style="313" customWidth="1"/>
    <col min="5641" max="5641" width="15.5546875" style="313" customWidth="1"/>
    <col min="5642" max="5642" width="35.6640625" style="313" customWidth="1"/>
    <col min="5643" max="5888" width="9.109375" style="313"/>
    <col min="5889" max="5889" width="12.6640625" style="313" customWidth="1"/>
    <col min="5890" max="5890" width="43.44140625" style="313" customWidth="1"/>
    <col min="5891" max="5893" width="0" style="313" hidden="1" customWidth="1"/>
    <col min="5894" max="5895" width="14.6640625" style="313" customWidth="1"/>
    <col min="5896" max="5896" width="21.88671875" style="313" customWidth="1"/>
    <col min="5897" max="5897" width="15.5546875" style="313" customWidth="1"/>
    <col min="5898" max="5898" width="35.6640625" style="313" customWidth="1"/>
    <col min="5899" max="6144" width="9.109375" style="313"/>
    <col min="6145" max="6145" width="12.6640625" style="313" customWidth="1"/>
    <col min="6146" max="6146" width="43.44140625" style="313" customWidth="1"/>
    <col min="6147" max="6149" width="0" style="313" hidden="1" customWidth="1"/>
    <col min="6150" max="6151" width="14.6640625" style="313" customWidth="1"/>
    <col min="6152" max="6152" width="21.88671875" style="313" customWidth="1"/>
    <col min="6153" max="6153" width="15.5546875" style="313" customWidth="1"/>
    <col min="6154" max="6154" width="35.6640625" style="313" customWidth="1"/>
    <col min="6155" max="6400" width="9.109375" style="313"/>
    <col min="6401" max="6401" width="12.6640625" style="313" customWidth="1"/>
    <col min="6402" max="6402" width="43.44140625" style="313" customWidth="1"/>
    <col min="6403" max="6405" width="0" style="313" hidden="1" customWidth="1"/>
    <col min="6406" max="6407" width="14.6640625" style="313" customWidth="1"/>
    <col min="6408" max="6408" width="21.88671875" style="313" customWidth="1"/>
    <col min="6409" max="6409" width="15.5546875" style="313" customWidth="1"/>
    <col min="6410" max="6410" width="35.6640625" style="313" customWidth="1"/>
    <col min="6411" max="6656" width="9.109375" style="313"/>
    <col min="6657" max="6657" width="12.6640625" style="313" customWidth="1"/>
    <col min="6658" max="6658" width="43.44140625" style="313" customWidth="1"/>
    <col min="6659" max="6661" width="0" style="313" hidden="1" customWidth="1"/>
    <col min="6662" max="6663" width="14.6640625" style="313" customWidth="1"/>
    <col min="6664" max="6664" width="21.88671875" style="313" customWidth="1"/>
    <col min="6665" max="6665" width="15.5546875" style="313" customWidth="1"/>
    <col min="6666" max="6666" width="35.6640625" style="313" customWidth="1"/>
    <col min="6667" max="6912" width="9.109375" style="313"/>
    <col min="6913" max="6913" width="12.6640625" style="313" customWidth="1"/>
    <col min="6914" max="6914" width="43.44140625" style="313" customWidth="1"/>
    <col min="6915" max="6917" width="0" style="313" hidden="1" customWidth="1"/>
    <col min="6918" max="6919" width="14.6640625" style="313" customWidth="1"/>
    <col min="6920" max="6920" width="21.88671875" style="313" customWidth="1"/>
    <col min="6921" max="6921" width="15.5546875" style="313" customWidth="1"/>
    <col min="6922" max="6922" width="35.6640625" style="313" customWidth="1"/>
    <col min="6923" max="7168" width="9.109375" style="313"/>
    <col min="7169" max="7169" width="12.6640625" style="313" customWidth="1"/>
    <col min="7170" max="7170" width="43.44140625" style="313" customWidth="1"/>
    <col min="7171" max="7173" width="0" style="313" hidden="1" customWidth="1"/>
    <col min="7174" max="7175" width="14.6640625" style="313" customWidth="1"/>
    <col min="7176" max="7176" width="21.88671875" style="313" customWidth="1"/>
    <col min="7177" max="7177" width="15.5546875" style="313" customWidth="1"/>
    <col min="7178" max="7178" width="35.6640625" style="313" customWidth="1"/>
    <col min="7179" max="7424" width="9.109375" style="313"/>
    <col min="7425" max="7425" width="12.6640625" style="313" customWidth="1"/>
    <col min="7426" max="7426" width="43.44140625" style="313" customWidth="1"/>
    <col min="7427" max="7429" width="0" style="313" hidden="1" customWidth="1"/>
    <col min="7430" max="7431" width="14.6640625" style="313" customWidth="1"/>
    <col min="7432" max="7432" width="21.88671875" style="313" customWidth="1"/>
    <col min="7433" max="7433" width="15.5546875" style="313" customWidth="1"/>
    <col min="7434" max="7434" width="35.6640625" style="313" customWidth="1"/>
    <col min="7435" max="7680" width="9.109375" style="313"/>
    <col min="7681" max="7681" width="12.6640625" style="313" customWidth="1"/>
    <col min="7682" max="7682" width="43.44140625" style="313" customWidth="1"/>
    <col min="7683" max="7685" width="0" style="313" hidden="1" customWidth="1"/>
    <col min="7686" max="7687" width="14.6640625" style="313" customWidth="1"/>
    <col min="7688" max="7688" width="21.88671875" style="313" customWidth="1"/>
    <col min="7689" max="7689" width="15.5546875" style="313" customWidth="1"/>
    <col min="7690" max="7690" width="35.6640625" style="313" customWidth="1"/>
    <col min="7691" max="7936" width="9.109375" style="313"/>
    <col min="7937" max="7937" width="12.6640625" style="313" customWidth="1"/>
    <col min="7938" max="7938" width="43.44140625" style="313" customWidth="1"/>
    <col min="7939" max="7941" width="0" style="313" hidden="1" customWidth="1"/>
    <col min="7942" max="7943" width="14.6640625" style="313" customWidth="1"/>
    <col min="7944" max="7944" width="21.88671875" style="313" customWidth="1"/>
    <col min="7945" max="7945" width="15.5546875" style="313" customWidth="1"/>
    <col min="7946" max="7946" width="35.6640625" style="313" customWidth="1"/>
    <col min="7947" max="8192" width="9.109375" style="313"/>
    <col min="8193" max="8193" width="12.6640625" style="313" customWidth="1"/>
    <col min="8194" max="8194" width="43.44140625" style="313" customWidth="1"/>
    <col min="8195" max="8197" width="0" style="313" hidden="1" customWidth="1"/>
    <col min="8198" max="8199" width="14.6640625" style="313" customWidth="1"/>
    <col min="8200" max="8200" width="21.88671875" style="313" customWidth="1"/>
    <col min="8201" max="8201" width="15.5546875" style="313" customWidth="1"/>
    <col min="8202" max="8202" width="35.6640625" style="313" customWidth="1"/>
    <col min="8203" max="8448" width="9.109375" style="313"/>
    <col min="8449" max="8449" width="12.6640625" style="313" customWidth="1"/>
    <col min="8450" max="8450" width="43.44140625" style="313" customWidth="1"/>
    <col min="8451" max="8453" width="0" style="313" hidden="1" customWidth="1"/>
    <col min="8454" max="8455" width="14.6640625" style="313" customWidth="1"/>
    <col min="8456" max="8456" width="21.88671875" style="313" customWidth="1"/>
    <col min="8457" max="8457" width="15.5546875" style="313" customWidth="1"/>
    <col min="8458" max="8458" width="35.6640625" style="313" customWidth="1"/>
    <col min="8459" max="8704" width="9.109375" style="313"/>
    <col min="8705" max="8705" width="12.6640625" style="313" customWidth="1"/>
    <col min="8706" max="8706" width="43.44140625" style="313" customWidth="1"/>
    <col min="8707" max="8709" width="0" style="313" hidden="1" customWidth="1"/>
    <col min="8710" max="8711" width="14.6640625" style="313" customWidth="1"/>
    <col min="8712" max="8712" width="21.88671875" style="313" customWidth="1"/>
    <col min="8713" max="8713" width="15.5546875" style="313" customWidth="1"/>
    <col min="8714" max="8714" width="35.6640625" style="313" customWidth="1"/>
    <col min="8715" max="8960" width="9.109375" style="313"/>
    <col min="8961" max="8961" width="12.6640625" style="313" customWidth="1"/>
    <col min="8962" max="8962" width="43.44140625" style="313" customWidth="1"/>
    <col min="8963" max="8965" width="0" style="313" hidden="1" customWidth="1"/>
    <col min="8966" max="8967" width="14.6640625" style="313" customWidth="1"/>
    <col min="8968" max="8968" width="21.88671875" style="313" customWidth="1"/>
    <col min="8969" max="8969" width="15.5546875" style="313" customWidth="1"/>
    <col min="8970" max="8970" width="35.6640625" style="313" customWidth="1"/>
    <col min="8971" max="9216" width="9.109375" style="313"/>
    <col min="9217" max="9217" width="12.6640625" style="313" customWidth="1"/>
    <col min="9218" max="9218" width="43.44140625" style="313" customWidth="1"/>
    <col min="9219" max="9221" width="0" style="313" hidden="1" customWidth="1"/>
    <col min="9222" max="9223" width="14.6640625" style="313" customWidth="1"/>
    <col min="9224" max="9224" width="21.88671875" style="313" customWidth="1"/>
    <col min="9225" max="9225" width="15.5546875" style="313" customWidth="1"/>
    <col min="9226" max="9226" width="35.6640625" style="313" customWidth="1"/>
    <col min="9227" max="9472" width="9.109375" style="313"/>
    <col min="9473" max="9473" width="12.6640625" style="313" customWidth="1"/>
    <col min="9474" max="9474" width="43.44140625" style="313" customWidth="1"/>
    <col min="9475" max="9477" width="0" style="313" hidden="1" customWidth="1"/>
    <col min="9478" max="9479" width="14.6640625" style="313" customWidth="1"/>
    <col min="9480" max="9480" width="21.88671875" style="313" customWidth="1"/>
    <col min="9481" max="9481" width="15.5546875" style="313" customWidth="1"/>
    <col min="9482" max="9482" width="35.6640625" style="313" customWidth="1"/>
    <col min="9483" max="9728" width="9.109375" style="313"/>
    <col min="9729" max="9729" width="12.6640625" style="313" customWidth="1"/>
    <col min="9730" max="9730" width="43.44140625" style="313" customWidth="1"/>
    <col min="9731" max="9733" width="0" style="313" hidden="1" customWidth="1"/>
    <col min="9734" max="9735" width="14.6640625" style="313" customWidth="1"/>
    <col min="9736" max="9736" width="21.88671875" style="313" customWidth="1"/>
    <col min="9737" max="9737" width="15.5546875" style="313" customWidth="1"/>
    <col min="9738" max="9738" width="35.6640625" style="313" customWidth="1"/>
    <col min="9739" max="9984" width="9.109375" style="313"/>
    <col min="9985" max="9985" width="12.6640625" style="313" customWidth="1"/>
    <col min="9986" max="9986" width="43.44140625" style="313" customWidth="1"/>
    <col min="9987" max="9989" width="0" style="313" hidden="1" customWidth="1"/>
    <col min="9990" max="9991" width="14.6640625" style="313" customWidth="1"/>
    <col min="9992" max="9992" width="21.88671875" style="313" customWidth="1"/>
    <col min="9993" max="9993" width="15.5546875" style="313" customWidth="1"/>
    <col min="9994" max="9994" width="35.6640625" style="313" customWidth="1"/>
    <col min="9995" max="10240" width="9.109375" style="313"/>
    <col min="10241" max="10241" width="12.6640625" style="313" customWidth="1"/>
    <col min="10242" max="10242" width="43.44140625" style="313" customWidth="1"/>
    <col min="10243" max="10245" width="0" style="313" hidden="1" customWidth="1"/>
    <col min="10246" max="10247" width="14.6640625" style="313" customWidth="1"/>
    <col min="10248" max="10248" width="21.88671875" style="313" customWidth="1"/>
    <col min="10249" max="10249" width="15.5546875" style="313" customWidth="1"/>
    <col min="10250" max="10250" width="35.6640625" style="313" customWidth="1"/>
    <col min="10251" max="10496" width="9.109375" style="313"/>
    <col min="10497" max="10497" width="12.6640625" style="313" customWidth="1"/>
    <col min="10498" max="10498" width="43.44140625" style="313" customWidth="1"/>
    <col min="10499" max="10501" width="0" style="313" hidden="1" customWidth="1"/>
    <col min="10502" max="10503" width="14.6640625" style="313" customWidth="1"/>
    <col min="10504" max="10504" width="21.88671875" style="313" customWidth="1"/>
    <col min="10505" max="10505" width="15.5546875" style="313" customWidth="1"/>
    <col min="10506" max="10506" width="35.6640625" style="313" customWidth="1"/>
    <col min="10507" max="10752" width="9.109375" style="313"/>
    <col min="10753" max="10753" width="12.6640625" style="313" customWidth="1"/>
    <col min="10754" max="10754" width="43.44140625" style="313" customWidth="1"/>
    <col min="10755" max="10757" width="0" style="313" hidden="1" customWidth="1"/>
    <col min="10758" max="10759" width="14.6640625" style="313" customWidth="1"/>
    <col min="10760" max="10760" width="21.88671875" style="313" customWidth="1"/>
    <col min="10761" max="10761" width="15.5546875" style="313" customWidth="1"/>
    <col min="10762" max="10762" width="35.6640625" style="313" customWidth="1"/>
    <col min="10763" max="11008" width="9.109375" style="313"/>
    <col min="11009" max="11009" width="12.6640625" style="313" customWidth="1"/>
    <col min="11010" max="11010" width="43.44140625" style="313" customWidth="1"/>
    <col min="11011" max="11013" width="0" style="313" hidden="1" customWidth="1"/>
    <col min="11014" max="11015" width="14.6640625" style="313" customWidth="1"/>
    <col min="11016" max="11016" width="21.88671875" style="313" customWidth="1"/>
    <col min="11017" max="11017" width="15.5546875" style="313" customWidth="1"/>
    <col min="11018" max="11018" width="35.6640625" style="313" customWidth="1"/>
    <col min="11019" max="11264" width="9.109375" style="313"/>
    <col min="11265" max="11265" width="12.6640625" style="313" customWidth="1"/>
    <col min="11266" max="11266" width="43.44140625" style="313" customWidth="1"/>
    <col min="11267" max="11269" width="0" style="313" hidden="1" customWidth="1"/>
    <col min="11270" max="11271" width="14.6640625" style="313" customWidth="1"/>
    <col min="11272" max="11272" width="21.88671875" style="313" customWidth="1"/>
    <col min="11273" max="11273" width="15.5546875" style="313" customWidth="1"/>
    <col min="11274" max="11274" width="35.6640625" style="313" customWidth="1"/>
    <col min="11275" max="11520" width="9.109375" style="313"/>
    <col min="11521" max="11521" width="12.6640625" style="313" customWidth="1"/>
    <col min="11522" max="11522" width="43.44140625" style="313" customWidth="1"/>
    <col min="11523" max="11525" width="0" style="313" hidden="1" customWidth="1"/>
    <col min="11526" max="11527" width="14.6640625" style="313" customWidth="1"/>
    <col min="11528" max="11528" width="21.88671875" style="313" customWidth="1"/>
    <col min="11529" max="11529" width="15.5546875" style="313" customWidth="1"/>
    <col min="11530" max="11530" width="35.6640625" style="313" customWidth="1"/>
    <col min="11531" max="11776" width="9.109375" style="313"/>
    <col min="11777" max="11777" width="12.6640625" style="313" customWidth="1"/>
    <col min="11778" max="11778" width="43.44140625" style="313" customWidth="1"/>
    <col min="11779" max="11781" width="0" style="313" hidden="1" customWidth="1"/>
    <col min="11782" max="11783" width="14.6640625" style="313" customWidth="1"/>
    <col min="11784" max="11784" width="21.88671875" style="313" customWidth="1"/>
    <col min="11785" max="11785" width="15.5546875" style="313" customWidth="1"/>
    <col min="11786" max="11786" width="35.6640625" style="313" customWidth="1"/>
    <col min="11787" max="12032" width="9.109375" style="313"/>
    <col min="12033" max="12033" width="12.6640625" style="313" customWidth="1"/>
    <col min="12034" max="12034" width="43.44140625" style="313" customWidth="1"/>
    <col min="12035" max="12037" width="0" style="313" hidden="1" customWidth="1"/>
    <col min="12038" max="12039" width="14.6640625" style="313" customWidth="1"/>
    <col min="12040" max="12040" width="21.88671875" style="313" customWidth="1"/>
    <col min="12041" max="12041" width="15.5546875" style="313" customWidth="1"/>
    <col min="12042" max="12042" width="35.6640625" style="313" customWidth="1"/>
    <col min="12043" max="12288" width="9.109375" style="313"/>
    <col min="12289" max="12289" width="12.6640625" style="313" customWidth="1"/>
    <col min="12290" max="12290" width="43.44140625" style="313" customWidth="1"/>
    <col min="12291" max="12293" width="0" style="313" hidden="1" customWidth="1"/>
    <col min="12294" max="12295" width="14.6640625" style="313" customWidth="1"/>
    <col min="12296" max="12296" width="21.88671875" style="313" customWidth="1"/>
    <col min="12297" max="12297" width="15.5546875" style="313" customWidth="1"/>
    <col min="12298" max="12298" width="35.6640625" style="313" customWidth="1"/>
    <col min="12299" max="12544" width="9.109375" style="313"/>
    <col min="12545" max="12545" width="12.6640625" style="313" customWidth="1"/>
    <col min="12546" max="12546" width="43.44140625" style="313" customWidth="1"/>
    <col min="12547" max="12549" width="0" style="313" hidden="1" customWidth="1"/>
    <col min="12550" max="12551" width="14.6640625" style="313" customWidth="1"/>
    <col min="12552" max="12552" width="21.88671875" style="313" customWidth="1"/>
    <col min="12553" max="12553" width="15.5546875" style="313" customWidth="1"/>
    <col min="12554" max="12554" width="35.6640625" style="313" customWidth="1"/>
    <col min="12555" max="12800" width="9.109375" style="313"/>
    <col min="12801" max="12801" width="12.6640625" style="313" customWidth="1"/>
    <col min="12802" max="12802" width="43.44140625" style="313" customWidth="1"/>
    <col min="12803" max="12805" width="0" style="313" hidden="1" customWidth="1"/>
    <col min="12806" max="12807" width="14.6640625" style="313" customWidth="1"/>
    <col min="12808" max="12808" width="21.88671875" style="313" customWidth="1"/>
    <col min="12809" max="12809" width="15.5546875" style="313" customWidth="1"/>
    <col min="12810" max="12810" width="35.6640625" style="313" customWidth="1"/>
    <col min="12811" max="13056" width="9.109375" style="313"/>
    <col min="13057" max="13057" width="12.6640625" style="313" customWidth="1"/>
    <col min="13058" max="13058" width="43.44140625" style="313" customWidth="1"/>
    <col min="13059" max="13061" width="0" style="313" hidden="1" customWidth="1"/>
    <col min="13062" max="13063" width="14.6640625" style="313" customWidth="1"/>
    <col min="13064" max="13064" width="21.88671875" style="313" customWidth="1"/>
    <col min="13065" max="13065" width="15.5546875" style="313" customWidth="1"/>
    <col min="13066" max="13066" width="35.6640625" style="313" customWidth="1"/>
    <col min="13067" max="13312" width="9.109375" style="313"/>
    <col min="13313" max="13313" width="12.6640625" style="313" customWidth="1"/>
    <col min="13314" max="13314" width="43.44140625" style="313" customWidth="1"/>
    <col min="13315" max="13317" width="0" style="313" hidden="1" customWidth="1"/>
    <col min="13318" max="13319" width="14.6640625" style="313" customWidth="1"/>
    <col min="13320" max="13320" width="21.88671875" style="313" customWidth="1"/>
    <col min="13321" max="13321" width="15.5546875" style="313" customWidth="1"/>
    <col min="13322" max="13322" width="35.6640625" style="313" customWidth="1"/>
    <col min="13323" max="13568" width="9.109375" style="313"/>
    <col min="13569" max="13569" width="12.6640625" style="313" customWidth="1"/>
    <col min="13570" max="13570" width="43.44140625" style="313" customWidth="1"/>
    <col min="13571" max="13573" width="0" style="313" hidden="1" customWidth="1"/>
    <col min="13574" max="13575" width="14.6640625" style="313" customWidth="1"/>
    <col min="13576" max="13576" width="21.88671875" style="313" customWidth="1"/>
    <col min="13577" max="13577" width="15.5546875" style="313" customWidth="1"/>
    <col min="13578" max="13578" width="35.6640625" style="313" customWidth="1"/>
    <col min="13579" max="13824" width="9.109375" style="313"/>
    <col min="13825" max="13825" width="12.6640625" style="313" customWidth="1"/>
    <col min="13826" max="13826" width="43.44140625" style="313" customWidth="1"/>
    <col min="13827" max="13829" width="0" style="313" hidden="1" customWidth="1"/>
    <col min="13830" max="13831" width="14.6640625" style="313" customWidth="1"/>
    <col min="13832" max="13832" width="21.88671875" style="313" customWidth="1"/>
    <col min="13833" max="13833" width="15.5546875" style="313" customWidth="1"/>
    <col min="13834" max="13834" width="35.6640625" style="313" customWidth="1"/>
    <col min="13835" max="14080" width="9.109375" style="313"/>
    <col min="14081" max="14081" width="12.6640625" style="313" customWidth="1"/>
    <col min="14082" max="14082" width="43.44140625" style="313" customWidth="1"/>
    <col min="14083" max="14085" width="0" style="313" hidden="1" customWidth="1"/>
    <col min="14086" max="14087" width="14.6640625" style="313" customWidth="1"/>
    <col min="14088" max="14088" width="21.88671875" style="313" customWidth="1"/>
    <col min="14089" max="14089" width="15.5546875" style="313" customWidth="1"/>
    <col min="14090" max="14090" width="35.6640625" style="313" customWidth="1"/>
    <col min="14091" max="14336" width="9.109375" style="313"/>
    <col min="14337" max="14337" width="12.6640625" style="313" customWidth="1"/>
    <col min="14338" max="14338" width="43.44140625" style="313" customWidth="1"/>
    <col min="14339" max="14341" width="0" style="313" hidden="1" customWidth="1"/>
    <col min="14342" max="14343" width="14.6640625" style="313" customWidth="1"/>
    <col min="14344" max="14344" width="21.88671875" style="313" customWidth="1"/>
    <col min="14345" max="14345" width="15.5546875" style="313" customWidth="1"/>
    <col min="14346" max="14346" width="35.6640625" style="313" customWidth="1"/>
    <col min="14347" max="14592" width="9.109375" style="313"/>
    <col min="14593" max="14593" width="12.6640625" style="313" customWidth="1"/>
    <col min="14594" max="14594" width="43.44140625" style="313" customWidth="1"/>
    <col min="14595" max="14597" width="0" style="313" hidden="1" customWidth="1"/>
    <col min="14598" max="14599" width="14.6640625" style="313" customWidth="1"/>
    <col min="14600" max="14600" width="21.88671875" style="313" customWidth="1"/>
    <col min="14601" max="14601" width="15.5546875" style="313" customWidth="1"/>
    <col min="14602" max="14602" width="35.6640625" style="313" customWidth="1"/>
    <col min="14603" max="14848" width="9.109375" style="313"/>
    <col min="14849" max="14849" width="12.6640625" style="313" customWidth="1"/>
    <col min="14850" max="14850" width="43.44140625" style="313" customWidth="1"/>
    <col min="14851" max="14853" width="0" style="313" hidden="1" customWidth="1"/>
    <col min="14854" max="14855" width="14.6640625" style="313" customWidth="1"/>
    <col min="14856" max="14856" width="21.88671875" style="313" customWidth="1"/>
    <col min="14857" max="14857" width="15.5546875" style="313" customWidth="1"/>
    <col min="14858" max="14858" width="35.6640625" style="313" customWidth="1"/>
    <col min="14859" max="15104" width="9.109375" style="313"/>
    <col min="15105" max="15105" width="12.6640625" style="313" customWidth="1"/>
    <col min="15106" max="15106" width="43.44140625" style="313" customWidth="1"/>
    <col min="15107" max="15109" width="0" style="313" hidden="1" customWidth="1"/>
    <col min="15110" max="15111" width="14.6640625" style="313" customWidth="1"/>
    <col min="15112" max="15112" width="21.88671875" style="313" customWidth="1"/>
    <col min="15113" max="15113" width="15.5546875" style="313" customWidth="1"/>
    <col min="15114" max="15114" width="35.6640625" style="313" customWidth="1"/>
    <col min="15115" max="15360" width="9.109375" style="313"/>
    <col min="15361" max="15361" width="12.6640625" style="313" customWidth="1"/>
    <col min="15362" max="15362" width="43.44140625" style="313" customWidth="1"/>
    <col min="15363" max="15365" width="0" style="313" hidden="1" customWidth="1"/>
    <col min="15366" max="15367" width="14.6640625" style="313" customWidth="1"/>
    <col min="15368" max="15368" width="21.88671875" style="313" customWidth="1"/>
    <col min="15369" max="15369" width="15.5546875" style="313" customWidth="1"/>
    <col min="15370" max="15370" width="35.6640625" style="313" customWidth="1"/>
    <col min="15371" max="15616" width="9.109375" style="313"/>
    <col min="15617" max="15617" width="12.6640625" style="313" customWidth="1"/>
    <col min="15618" max="15618" width="43.44140625" style="313" customWidth="1"/>
    <col min="15619" max="15621" width="0" style="313" hidden="1" customWidth="1"/>
    <col min="15622" max="15623" width="14.6640625" style="313" customWidth="1"/>
    <col min="15624" max="15624" width="21.88671875" style="313" customWidth="1"/>
    <col min="15625" max="15625" width="15.5546875" style="313" customWidth="1"/>
    <col min="15626" max="15626" width="35.6640625" style="313" customWidth="1"/>
    <col min="15627" max="15872" width="9.109375" style="313"/>
    <col min="15873" max="15873" width="12.6640625" style="313" customWidth="1"/>
    <col min="15874" max="15874" width="43.44140625" style="313" customWidth="1"/>
    <col min="15875" max="15877" width="0" style="313" hidden="1" customWidth="1"/>
    <col min="15878" max="15879" width="14.6640625" style="313" customWidth="1"/>
    <col min="15880" max="15880" width="21.88671875" style="313" customWidth="1"/>
    <col min="15881" max="15881" width="15.5546875" style="313" customWidth="1"/>
    <col min="15882" max="15882" width="35.6640625" style="313" customWidth="1"/>
    <col min="15883" max="16128" width="9.109375" style="313"/>
    <col min="16129" max="16129" width="12.6640625" style="313" customWidth="1"/>
    <col min="16130" max="16130" width="43.44140625" style="313" customWidth="1"/>
    <col min="16131" max="16133" width="0" style="313" hidden="1" customWidth="1"/>
    <col min="16134" max="16135" width="14.6640625" style="313" customWidth="1"/>
    <col min="16136" max="16136" width="21.88671875" style="313" customWidth="1"/>
    <col min="16137" max="16137" width="15.5546875" style="313" customWidth="1"/>
    <col min="16138" max="16138" width="35.6640625" style="313" customWidth="1"/>
    <col min="16139" max="16384" width="9.109375" style="313"/>
  </cols>
  <sheetData>
    <row r="1" spans="1:14" ht="15.6" x14ac:dyDescent="0.3">
      <c r="A1" s="404" t="s">
        <v>113</v>
      </c>
    </row>
    <row r="2" spans="1:14" ht="15.6" x14ac:dyDescent="0.25">
      <c r="A2" s="314" t="s">
        <v>470</v>
      </c>
    </row>
    <row r="3" spans="1:14" x14ac:dyDescent="0.25">
      <c r="C3" s="315" t="s">
        <v>147</v>
      </c>
      <c r="D3" s="315" t="s">
        <v>148</v>
      </c>
      <c r="E3" s="315" t="s">
        <v>147</v>
      </c>
      <c r="F3" s="406" t="s">
        <v>149</v>
      </c>
      <c r="G3" s="406" t="s">
        <v>149</v>
      </c>
      <c r="I3" s="406" t="s">
        <v>149</v>
      </c>
    </row>
    <row r="4" spans="1:14" x14ac:dyDescent="0.25">
      <c r="C4" s="315" t="s">
        <v>150</v>
      </c>
      <c r="D4" s="315" t="s">
        <v>151</v>
      </c>
      <c r="E4" s="315" t="s">
        <v>151</v>
      </c>
      <c r="F4" s="406" t="s">
        <v>152</v>
      </c>
      <c r="G4" s="406" t="s">
        <v>152</v>
      </c>
      <c r="I4" s="406" t="s">
        <v>229</v>
      </c>
    </row>
    <row r="5" spans="1:14" ht="13.2" x14ac:dyDescent="0.25">
      <c r="C5" s="316">
        <v>36799</v>
      </c>
      <c r="D5" s="316" t="s">
        <v>153</v>
      </c>
      <c r="E5" s="317" t="s">
        <v>154</v>
      </c>
      <c r="F5" s="316">
        <v>45657</v>
      </c>
      <c r="G5" s="316">
        <v>45626</v>
      </c>
      <c r="I5" s="316"/>
    </row>
    <row r="6" spans="1:14" x14ac:dyDescent="0.25">
      <c r="A6" s="312" t="s">
        <v>155</v>
      </c>
      <c r="B6" s="312" t="s">
        <v>156</v>
      </c>
    </row>
    <row r="7" spans="1:14" x14ac:dyDescent="0.25">
      <c r="A7" s="312" t="s">
        <v>157</v>
      </c>
      <c r="B7" s="312" t="s">
        <v>158</v>
      </c>
      <c r="C7" s="312" t="s">
        <v>159</v>
      </c>
      <c r="D7" s="318" t="s">
        <v>160</v>
      </c>
      <c r="E7" s="318" t="s">
        <v>161</v>
      </c>
      <c r="F7" s="407" t="s">
        <v>162</v>
      </c>
      <c r="G7" s="407" t="s">
        <v>162</v>
      </c>
    </row>
    <row r="8" spans="1:14" x14ac:dyDescent="0.25">
      <c r="A8" s="318"/>
      <c r="C8" s="319"/>
      <c r="D8" s="319"/>
      <c r="E8" s="319"/>
    </row>
    <row r="9" spans="1:14" ht="13.2" x14ac:dyDescent="0.25">
      <c r="A9" s="320"/>
      <c r="B9" s="321" t="s">
        <v>163</v>
      </c>
      <c r="C9" s="322"/>
      <c r="D9" s="322"/>
      <c r="E9" s="322"/>
      <c r="F9" s="408">
        <f>SUM(F10:F12)</f>
        <v>693009.6</v>
      </c>
      <c r="G9" s="408">
        <v>692038.49</v>
      </c>
      <c r="I9" s="408">
        <f>+F9-G9</f>
        <v>971.10999999998603</v>
      </c>
    </row>
    <row r="10" spans="1:14" x14ac:dyDescent="0.25">
      <c r="A10" s="312" t="s">
        <v>164</v>
      </c>
      <c r="B10" s="312" t="s">
        <v>165</v>
      </c>
      <c r="C10" s="319"/>
      <c r="D10" s="319"/>
      <c r="E10" s="319"/>
      <c r="F10" s="405">
        <v>5118.71</v>
      </c>
      <c r="G10" s="405">
        <v>5118.71</v>
      </c>
      <c r="I10" s="405">
        <f t="shared" ref="I10:I57" si="0">+F10-G10</f>
        <v>0</v>
      </c>
    </row>
    <row r="11" spans="1:14" x14ac:dyDescent="0.25">
      <c r="A11" s="312" t="s">
        <v>166</v>
      </c>
      <c r="B11" s="312" t="s">
        <v>167</v>
      </c>
      <c r="C11" s="319"/>
      <c r="D11" s="319"/>
      <c r="E11" s="319"/>
      <c r="I11" s="405">
        <f t="shared" si="0"/>
        <v>0</v>
      </c>
    </row>
    <row r="12" spans="1:14" x14ac:dyDescent="0.25">
      <c r="A12" s="312" t="s">
        <v>168</v>
      </c>
      <c r="B12" s="312" t="s">
        <v>169</v>
      </c>
      <c r="C12" s="319"/>
      <c r="D12" s="319"/>
      <c r="E12" s="319"/>
      <c r="F12" s="405">
        <v>687890.89</v>
      </c>
      <c r="G12" s="405">
        <v>686919.78</v>
      </c>
      <c r="H12" s="324"/>
      <c r="I12" s="405">
        <f t="shared" si="0"/>
        <v>971.10999999998603</v>
      </c>
    </row>
    <row r="13" spans="1:14" x14ac:dyDescent="0.25">
      <c r="A13" s="318"/>
      <c r="C13" s="319"/>
      <c r="D13" s="319"/>
      <c r="E13" s="319"/>
      <c r="I13" s="405">
        <f t="shared" si="0"/>
        <v>0</v>
      </c>
    </row>
    <row r="14" spans="1:14" ht="13.2" x14ac:dyDescent="0.25">
      <c r="A14" s="320"/>
      <c r="B14" s="321" t="s">
        <v>170</v>
      </c>
      <c r="C14" s="322"/>
      <c r="D14" s="322"/>
      <c r="E14" s="322"/>
      <c r="F14" s="408">
        <f>SUM(F15:F19)</f>
        <v>-227603.83000000002</v>
      </c>
      <c r="G14" s="408">
        <v>108308.07999999999</v>
      </c>
      <c r="I14" s="408">
        <f t="shared" si="0"/>
        <v>-335911.91000000003</v>
      </c>
    </row>
    <row r="15" spans="1:14" x14ac:dyDescent="0.3">
      <c r="A15" s="312" t="s">
        <v>171</v>
      </c>
      <c r="B15" s="312" t="s">
        <v>172</v>
      </c>
      <c r="C15" s="319"/>
      <c r="D15" s="319"/>
      <c r="E15" s="319"/>
      <c r="F15" s="409">
        <v>3815.49</v>
      </c>
      <c r="G15" s="409">
        <v>6158.07</v>
      </c>
      <c r="I15" s="409">
        <f t="shared" si="0"/>
        <v>-2342.58</v>
      </c>
      <c r="N15" s="410"/>
    </row>
    <row r="16" spans="1:14" hidden="1" x14ac:dyDescent="0.3">
      <c r="A16" s="312" t="s">
        <v>373</v>
      </c>
      <c r="B16" s="312" t="s">
        <v>230</v>
      </c>
      <c r="C16" s="319"/>
      <c r="D16" s="319"/>
      <c r="E16" s="319"/>
      <c r="F16" s="409"/>
      <c r="G16" s="409"/>
      <c r="H16" s="313" t="s">
        <v>374</v>
      </c>
      <c r="I16" s="409">
        <f t="shared" si="0"/>
        <v>0</v>
      </c>
    </row>
    <row r="17" spans="1:13" x14ac:dyDescent="0.3">
      <c r="A17" s="312" t="s">
        <v>173</v>
      </c>
      <c r="B17" s="312" t="s">
        <v>216</v>
      </c>
      <c r="C17" s="319"/>
      <c r="D17" s="319"/>
      <c r="E17" s="319"/>
      <c r="F17" s="411"/>
      <c r="G17" s="411"/>
      <c r="H17" s="412"/>
      <c r="I17" s="409">
        <f t="shared" si="0"/>
        <v>0</v>
      </c>
    </row>
    <row r="18" spans="1:13" ht="26.4" x14ac:dyDescent="0.3">
      <c r="A18" s="312" t="s">
        <v>375</v>
      </c>
      <c r="B18" s="530" t="s">
        <v>376</v>
      </c>
      <c r="C18" s="319"/>
      <c r="D18" s="319"/>
      <c r="E18" s="319"/>
      <c r="F18" s="411"/>
      <c r="G18" s="411"/>
      <c r="H18" s="412"/>
      <c r="I18" s="409"/>
    </row>
    <row r="19" spans="1:13" ht="31.2" customHeight="1" x14ac:dyDescent="0.3">
      <c r="A19" s="312" t="s">
        <v>174</v>
      </c>
      <c r="B19" s="312" t="s">
        <v>175</v>
      </c>
      <c r="C19" s="319"/>
      <c r="D19" s="319"/>
      <c r="E19" s="319"/>
      <c r="F19" s="458">
        <f>-231419.32</f>
        <v>-231419.32</v>
      </c>
      <c r="G19" s="409">
        <v>102150.01</v>
      </c>
      <c r="H19" s="531" t="s">
        <v>471</v>
      </c>
      <c r="I19" s="409">
        <f t="shared" si="0"/>
        <v>-333569.33</v>
      </c>
    </row>
    <row r="20" spans="1:13" ht="13.2" x14ac:dyDescent="0.25">
      <c r="A20" s="318"/>
      <c r="C20" s="319"/>
      <c r="D20" s="319"/>
      <c r="E20" s="319"/>
      <c r="F20" s="413" t="s">
        <v>176</v>
      </c>
      <c r="G20" s="413" t="s">
        <v>176</v>
      </c>
      <c r="I20" s="413"/>
    </row>
    <row r="21" spans="1:13" ht="13.2" x14ac:dyDescent="0.25">
      <c r="A21" s="320"/>
      <c r="B21" s="321" t="s">
        <v>177</v>
      </c>
      <c r="C21" s="322"/>
      <c r="D21" s="322"/>
      <c r="E21" s="322"/>
      <c r="F21" s="408">
        <f>SUM(F22:F23)</f>
        <v>450790.79</v>
      </c>
      <c r="G21" s="408">
        <v>520193.59</v>
      </c>
      <c r="I21" s="408">
        <f t="shared" si="0"/>
        <v>-69402.800000000047</v>
      </c>
    </row>
    <row r="22" spans="1:13" ht="27" customHeight="1" x14ac:dyDescent="0.25">
      <c r="A22" s="312" t="s">
        <v>178</v>
      </c>
      <c r="B22" s="312" t="s">
        <v>179</v>
      </c>
      <c r="C22" s="319"/>
      <c r="D22" s="319"/>
      <c r="E22" s="319"/>
      <c r="F22" s="414">
        <v>400190.86</v>
      </c>
      <c r="G22" s="414">
        <v>468163.13</v>
      </c>
      <c r="H22" s="530" t="s">
        <v>472</v>
      </c>
      <c r="I22" s="405">
        <f t="shared" si="0"/>
        <v>-67972.270000000019</v>
      </c>
    </row>
    <row r="23" spans="1:13" ht="12.75" customHeight="1" x14ac:dyDescent="0.25">
      <c r="A23" s="312" t="s">
        <v>180</v>
      </c>
      <c r="B23" s="312" t="s">
        <v>181</v>
      </c>
      <c r="C23" s="319"/>
      <c r="D23" s="319"/>
      <c r="E23" s="319"/>
      <c r="F23" s="414">
        <v>50599.93</v>
      </c>
      <c r="G23" s="414">
        <v>52030.46</v>
      </c>
      <c r="I23" s="405">
        <f t="shared" si="0"/>
        <v>-1430.5299999999988</v>
      </c>
      <c r="M23" s="323"/>
    </row>
    <row r="24" spans="1:13" ht="12.75" customHeight="1" x14ac:dyDescent="0.25">
      <c r="A24" s="318"/>
      <c r="C24" s="319"/>
      <c r="D24" s="319"/>
      <c r="E24" s="319"/>
      <c r="I24" s="405"/>
    </row>
    <row r="25" spans="1:13" ht="13.2" x14ac:dyDescent="0.25">
      <c r="A25" s="320"/>
      <c r="B25" s="321" t="s">
        <v>182</v>
      </c>
      <c r="C25" s="322"/>
      <c r="D25" s="322"/>
      <c r="E25" s="322"/>
      <c r="F25" s="408">
        <f>SUM(F26:F27)</f>
        <v>11184.02</v>
      </c>
      <c r="G25" s="408">
        <v>42408.78</v>
      </c>
      <c r="I25" s="408">
        <f t="shared" si="0"/>
        <v>-31224.76</v>
      </c>
    </row>
    <row r="26" spans="1:13" x14ac:dyDescent="0.3">
      <c r="A26" s="312" t="s">
        <v>183</v>
      </c>
      <c r="B26" s="312" t="s">
        <v>184</v>
      </c>
      <c r="C26" s="319"/>
      <c r="D26" s="319"/>
      <c r="E26" s="319"/>
      <c r="F26" s="411">
        <v>1299.7</v>
      </c>
      <c r="G26" s="411">
        <v>2598.5300000000002</v>
      </c>
      <c r="I26" s="409">
        <f t="shared" si="0"/>
        <v>-1298.8300000000002</v>
      </c>
    </row>
    <row r="27" spans="1:13" ht="39.6" x14ac:dyDescent="0.25">
      <c r="A27" s="312" t="s">
        <v>185</v>
      </c>
      <c r="B27" s="312" t="s">
        <v>186</v>
      </c>
      <c r="C27" s="319"/>
      <c r="D27" s="319"/>
      <c r="E27" s="319"/>
      <c r="F27" s="415">
        <v>9884.32</v>
      </c>
      <c r="G27" s="415">
        <v>39810.25</v>
      </c>
      <c r="H27" s="532" t="s">
        <v>473</v>
      </c>
      <c r="I27" s="416">
        <f t="shared" si="0"/>
        <v>-29925.93</v>
      </c>
    </row>
    <row r="28" spans="1:13" x14ac:dyDescent="0.25">
      <c r="A28" s="318"/>
      <c r="C28" s="319"/>
      <c r="D28" s="319"/>
      <c r="E28" s="319"/>
      <c r="I28" s="405"/>
    </row>
    <row r="29" spans="1:13" ht="13.2" x14ac:dyDescent="0.25">
      <c r="A29" s="320"/>
      <c r="B29" s="321" t="s">
        <v>187</v>
      </c>
      <c r="C29" s="322"/>
      <c r="D29" s="322"/>
      <c r="E29" s="322"/>
      <c r="F29" s="408">
        <f>+F30</f>
        <v>30420</v>
      </c>
      <c r="G29" s="408">
        <v>30420</v>
      </c>
      <c r="I29" s="408">
        <f t="shared" si="0"/>
        <v>0</v>
      </c>
    </row>
    <row r="30" spans="1:13" ht="13.2" x14ac:dyDescent="0.25">
      <c r="A30" s="312" t="s">
        <v>188</v>
      </c>
      <c r="B30" s="312" t="s">
        <v>189</v>
      </c>
      <c r="C30" s="319"/>
      <c r="D30" s="319"/>
      <c r="E30" s="319"/>
      <c r="F30" s="417">
        <v>30420</v>
      </c>
      <c r="G30" s="417">
        <v>30420</v>
      </c>
      <c r="I30" s="417">
        <f t="shared" si="0"/>
        <v>0</v>
      </c>
    </row>
    <row r="31" spans="1:13" hidden="1" x14ac:dyDescent="0.25">
      <c r="A31" s="318"/>
      <c r="C31" s="319"/>
      <c r="D31" s="319"/>
      <c r="E31" s="319"/>
      <c r="I31" s="405">
        <f t="shared" si="0"/>
        <v>0</v>
      </c>
    </row>
    <row r="32" spans="1:13" ht="13.2" hidden="1" x14ac:dyDescent="0.25">
      <c r="A32" s="320"/>
      <c r="B32" s="321" t="s">
        <v>190</v>
      </c>
      <c r="C32" s="322"/>
      <c r="D32" s="322"/>
      <c r="E32" s="322"/>
      <c r="F32" s="408">
        <f>SUM(F33:F33)</f>
        <v>0</v>
      </c>
      <c r="G32" s="408">
        <v>0</v>
      </c>
      <c r="I32" s="408">
        <f t="shared" si="0"/>
        <v>0</v>
      </c>
    </row>
    <row r="33" spans="1:9" hidden="1" x14ac:dyDescent="0.25">
      <c r="A33" s="312" t="s">
        <v>191</v>
      </c>
      <c r="B33" s="312" t="s">
        <v>192</v>
      </c>
      <c r="C33" s="319"/>
      <c r="D33" s="319"/>
      <c r="E33" s="319"/>
      <c r="F33" s="405">
        <v>0</v>
      </c>
      <c r="G33" s="405">
        <v>0</v>
      </c>
      <c r="I33" s="405">
        <f t="shared" si="0"/>
        <v>0</v>
      </c>
    </row>
    <row r="34" spans="1:9" hidden="1" x14ac:dyDescent="0.25">
      <c r="C34" s="319"/>
      <c r="D34" s="319"/>
      <c r="E34" s="319"/>
      <c r="I34" s="405">
        <f t="shared" si="0"/>
        <v>0</v>
      </c>
    </row>
    <row r="35" spans="1:9" x14ac:dyDescent="0.25">
      <c r="A35" s="318"/>
      <c r="C35" s="319"/>
      <c r="D35" s="319"/>
      <c r="E35" s="319"/>
      <c r="I35" s="405">
        <f t="shared" si="0"/>
        <v>0</v>
      </c>
    </row>
    <row r="36" spans="1:9" ht="13.2" x14ac:dyDescent="0.25">
      <c r="A36" s="325"/>
      <c r="B36" s="326" t="s">
        <v>193</v>
      </c>
      <c r="C36" s="327"/>
      <c r="D36" s="327"/>
      <c r="E36" s="327"/>
      <c r="F36" s="418">
        <f>F9+F14+F21+F25+F29</f>
        <v>957800.58</v>
      </c>
      <c r="G36" s="418">
        <v>1393368.94</v>
      </c>
      <c r="I36" s="418">
        <f t="shared" si="0"/>
        <v>-435568.36</v>
      </c>
    </row>
    <row r="37" spans="1:9" x14ac:dyDescent="0.25">
      <c r="A37" s="318"/>
      <c r="C37" s="319"/>
      <c r="D37" s="319"/>
      <c r="E37" s="319"/>
      <c r="I37" s="405"/>
    </row>
    <row r="38" spans="1:9" ht="13.2" hidden="1" x14ac:dyDescent="0.25">
      <c r="A38" s="320"/>
      <c r="B38" s="321" t="s">
        <v>194</v>
      </c>
      <c r="C38" s="322"/>
      <c r="D38" s="322"/>
      <c r="E38" s="322"/>
      <c r="F38" s="408">
        <f>SUM(F39)</f>
        <v>0</v>
      </c>
      <c r="G38" s="408">
        <v>0</v>
      </c>
      <c r="I38" s="408">
        <f t="shared" si="0"/>
        <v>0</v>
      </c>
    </row>
    <row r="39" spans="1:9" hidden="1" x14ac:dyDescent="0.25">
      <c r="A39" s="312" t="s">
        <v>174</v>
      </c>
      <c r="B39" s="312" t="s">
        <v>175</v>
      </c>
      <c r="C39" s="319"/>
      <c r="D39" s="319"/>
      <c r="E39" s="319"/>
      <c r="I39" s="405">
        <f t="shared" si="0"/>
        <v>0</v>
      </c>
    </row>
    <row r="40" spans="1:9" hidden="1" x14ac:dyDescent="0.25">
      <c r="C40" s="319"/>
      <c r="D40" s="319"/>
      <c r="E40" s="319"/>
      <c r="I40" s="405">
        <f t="shared" si="0"/>
        <v>0</v>
      </c>
    </row>
    <row r="41" spans="1:9" ht="13.2" x14ac:dyDescent="0.25">
      <c r="A41" s="320"/>
      <c r="B41" s="321" t="s">
        <v>195</v>
      </c>
      <c r="C41" s="322"/>
      <c r="D41" s="322"/>
      <c r="E41" s="322"/>
      <c r="F41" s="408">
        <f>SUM(F42:F43)</f>
        <v>17944.63</v>
      </c>
      <c r="G41" s="408">
        <v>20641.690000000002</v>
      </c>
      <c r="I41" s="408">
        <f t="shared" si="0"/>
        <v>-2697.0600000000013</v>
      </c>
    </row>
    <row r="42" spans="1:9" ht="13.2" x14ac:dyDescent="0.25">
      <c r="A42" s="312" t="s">
        <v>196</v>
      </c>
      <c r="B42" s="312" t="s">
        <v>197</v>
      </c>
      <c r="C42" s="319"/>
      <c r="D42" s="319"/>
      <c r="E42" s="319"/>
      <c r="F42" s="419">
        <v>1411.18</v>
      </c>
      <c r="G42" s="417">
        <v>4670.74</v>
      </c>
      <c r="I42" s="417">
        <f t="shared" si="0"/>
        <v>-3259.5599999999995</v>
      </c>
    </row>
    <row r="43" spans="1:9" x14ac:dyDescent="0.25">
      <c r="A43" s="312" t="s">
        <v>191</v>
      </c>
      <c r="B43" s="312" t="s">
        <v>198</v>
      </c>
      <c r="C43" s="319"/>
      <c r="D43" s="319"/>
      <c r="E43" s="319"/>
      <c r="F43" s="414">
        <v>16533.45</v>
      </c>
      <c r="G43" s="405">
        <v>15970.95</v>
      </c>
      <c r="I43" s="405">
        <f t="shared" si="0"/>
        <v>562.5</v>
      </c>
    </row>
    <row r="44" spans="1:9" x14ac:dyDescent="0.25">
      <c r="A44" s="318"/>
      <c r="C44" s="319"/>
      <c r="D44" s="319"/>
      <c r="E44" s="319"/>
      <c r="I44" s="405"/>
    </row>
    <row r="45" spans="1:9" ht="13.2" hidden="1" x14ac:dyDescent="0.25">
      <c r="A45" s="320"/>
      <c r="B45" s="321" t="s">
        <v>199</v>
      </c>
      <c r="C45" s="322"/>
      <c r="D45" s="322"/>
      <c r="E45" s="322"/>
      <c r="F45" s="408">
        <f>SUM(F46:F46)</f>
        <v>0</v>
      </c>
      <c r="G45" s="408">
        <v>0</v>
      </c>
      <c r="I45" s="408">
        <f t="shared" si="0"/>
        <v>0</v>
      </c>
    </row>
    <row r="46" spans="1:9" hidden="1" x14ac:dyDescent="0.25">
      <c r="C46" s="319"/>
      <c r="D46" s="319"/>
      <c r="E46" s="319"/>
      <c r="I46" s="405">
        <f t="shared" si="0"/>
        <v>0</v>
      </c>
    </row>
    <row r="47" spans="1:9" hidden="1" x14ac:dyDescent="0.25">
      <c r="A47" s="318"/>
      <c r="C47" s="319"/>
      <c r="D47" s="319"/>
      <c r="E47" s="319"/>
      <c r="I47" s="405">
        <f t="shared" si="0"/>
        <v>0</v>
      </c>
    </row>
    <row r="48" spans="1:9" ht="13.2" x14ac:dyDescent="0.25">
      <c r="A48" s="320"/>
      <c r="B48" s="321" t="s">
        <v>200</v>
      </c>
      <c r="C48" s="322"/>
      <c r="D48" s="322"/>
      <c r="E48" s="322"/>
      <c r="F48" s="408">
        <f>SUM(F49:F52)</f>
        <v>939855.95</v>
      </c>
      <c r="G48" s="408">
        <v>1372727.25</v>
      </c>
      <c r="I48" s="408">
        <f t="shared" si="0"/>
        <v>-432871.30000000005</v>
      </c>
    </row>
    <row r="49" spans="1:9" ht="13.2" x14ac:dyDescent="0.25">
      <c r="A49" s="312" t="s">
        <v>201</v>
      </c>
      <c r="B49" s="312" t="s">
        <v>202</v>
      </c>
      <c r="C49" s="319"/>
      <c r="D49" s="319"/>
      <c r="E49" s="319"/>
      <c r="F49" s="417">
        <v>41387.72</v>
      </c>
      <c r="G49" s="417">
        <v>41387.72</v>
      </c>
      <c r="I49" s="417">
        <f t="shared" si="0"/>
        <v>0</v>
      </c>
    </row>
    <row r="50" spans="1:9" ht="39.6" x14ac:dyDescent="0.25">
      <c r="A50" s="312" t="s">
        <v>203</v>
      </c>
      <c r="B50" s="312" t="s">
        <v>204</v>
      </c>
      <c r="C50" s="319"/>
      <c r="D50" s="319"/>
      <c r="E50" s="319"/>
      <c r="F50" s="414">
        <v>856409.08</v>
      </c>
      <c r="G50" s="405">
        <v>1228413.48</v>
      </c>
      <c r="H50" s="530" t="s">
        <v>474</v>
      </c>
      <c r="I50" s="405">
        <f t="shared" si="0"/>
        <v>-372004.4</v>
      </c>
    </row>
    <row r="51" spans="1:9" x14ac:dyDescent="0.25">
      <c r="A51" s="312" t="s">
        <v>205</v>
      </c>
      <c r="B51" s="312" t="s">
        <v>206</v>
      </c>
      <c r="C51" s="319"/>
      <c r="D51" s="319"/>
      <c r="E51" s="319"/>
      <c r="F51" s="405">
        <v>70107.600000000006</v>
      </c>
      <c r="G51" s="405">
        <v>70107.600000000006</v>
      </c>
      <c r="I51" s="405">
        <f t="shared" si="0"/>
        <v>0</v>
      </c>
    </row>
    <row r="52" spans="1:9" ht="13.2" x14ac:dyDescent="0.25">
      <c r="B52" s="312" t="s">
        <v>207</v>
      </c>
      <c r="C52" s="319"/>
      <c r="D52" s="319"/>
      <c r="E52" s="319"/>
      <c r="F52" s="419">
        <f>-28048.45</f>
        <v>-28048.45</v>
      </c>
      <c r="G52" s="419">
        <v>32818.449999999997</v>
      </c>
      <c r="I52" s="419">
        <f t="shared" si="0"/>
        <v>-60866.899999999994</v>
      </c>
    </row>
    <row r="53" spans="1:9" x14ac:dyDescent="0.25">
      <c r="C53" s="319"/>
      <c r="D53" s="319"/>
      <c r="E53" s="319"/>
      <c r="I53" s="405">
        <f t="shared" si="0"/>
        <v>0</v>
      </c>
    </row>
    <row r="54" spans="1:9" ht="13.2" x14ac:dyDescent="0.25">
      <c r="A54" s="325"/>
      <c r="B54" s="326" t="s">
        <v>208</v>
      </c>
      <c r="C54" s="327"/>
      <c r="D54" s="327"/>
      <c r="E54" s="327"/>
      <c r="F54" s="418">
        <f>F48+F41+F38</f>
        <v>957800.58</v>
      </c>
      <c r="G54" s="418">
        <v>1393368.94</v>
      </c>
      <c r="H54" s="323"/>
      <c r="I54" s="418">
        <f t="shared" si="0"/>
        <v>-435568.36</v>
      </c>
    </row>
    <row r="55" spans="1:9" x14ac:dyDescent="0.25">
      <c r="C55" s="319"/>
      <c r="D55" s="319"/>
      <c r="E55" s="319"/>
      <c r="I55" s="405"/>
    </row>
    <row r="56" spans="1:9" x14ac:dyDescent="0.25">
      <c r="C56" s="319"/>
      <c r="D56" s="319"/>
      <c r="E56" s="319"/>
      <c r="I56" s="405"/>
    </row>
    <row r="57" spans="1:9" x14ac:dyDescent="0.25">
      <c r="B57" s="312" t="s">
        <v>209</v>
      </c>
      <c r="C57" s="319"/>
      <c r="D57" s="319"/>
      <c r="E57" s="319"/>
      <c r="F57" s="405">
        <f>F36-F54</f>
        <v>0</v>
      </c>
      <c r="G57" s="405">
        <v>-1.9999999785795808E-2</v>
      </c>
      <c r="I57" s="405">
        <f t="shared" si="0"/>
        <v>1.9999999785795808E-2</v>
      </c>
    </row>
    <row r="58" spans="1:9" x14ac:dyDescent="0.25">
      <c r="C58" s="319"/>
      <c r="D58" s="319"/>
      <c r="E58" s="319"/>
    </row>
    <row r="59" spans="1:9" x14ac:dyDescent="0.25">
      <c r="B59" s="328"/>
      <c r="C59" s="319"/>
      <c r="D59" s="319"/>
      <c r="E59" s="319"/>
    </row>
    <row r="60" spans="1:9" x14ac:dyDescent="0.25">
      <c r="C60" s="319"/>
      <c r="D60" s="319"/>
      <c r="E60" s="319"/>
    </row>
    <row r="61" spans="1:9" ht="13.2" x14ac:dyDescent="0.25">
      <c r="B61" s="328"/>
      <c r="C61" s="329"/>
      <c r="D61" s="328"/>
      <c r="E61" s="328"/>
      <c r="F61" s="420"/>
      <c r="G61" s="420"/>
    </row>
    <row r="65" spans="3:3" x14ac:dyDescent="0.25">
      <c r="C65" s="319"/>
    </row>
  </sheetData>
  <pageMargins left="0.17" right="0.21" top="0.75" bottom="0.75" header="0.3" footer="0.3"/>
  <pageSetup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D01D4-DD52-498A-A5D3-8895489B3A42}">
  <sheetPr>
    <pageSetUpPr fitToPage="1"/>
  </sheetPr>
  <dimension ref="A2:P33"/>
  <sheetViews>
    <sheetView topLeftCell="A16" zoomScaleNormal="100" workbookViewId="0">
      <selection activeCell="G30" sqref="G30"/>
    </sheetView>
  </sheetViews>
  <sheetFormatPr defaultColWidth="9.109375" defaultRowHeight="13.2" x14ac:dyDescent="0.25"/>
  <cols>
    <col min="1" max="1" width="1" style="459" customWidth="1"/>
    <col min="2" max="2" width="14.44140625" style="459" customWidth="1"/>
    <col min="3" max="3" width="93.44140625" style="461" customWidth="1"/>
    <col min="4" max="4" width="1.88671875" style="461" customWidth="1"/>
    <col min="5" max="5" width="14.33203125" style="461" customWidth="1"/>
    <col min="6" max="6" width="1.109375" style="461" customWidth="1"/>
    <col min="7" max="7" width="18.5546875" style="461" customWidth="1"/>
    <col min="8" max="8" width="2.88671875" style="461" hidden="1" customWidth="1"/>
    <col min="9" max="9" width="11.6640625" style="461" hidden="1" customWidth="1"/>
    <col min="10" max="10" width="2.6640625" style="461" hidden="1" customWidth="1"/>
    <col min="11" max="11" width="11.6640625" style="461" hidden="1" customWidth="1"/>
    <col min="12" max="12" width="1.77734375" style="461" customWidth="1"/>
    <col min="13" max="13" width="11.6640625" style="461" customWidth="1"/>
    <col min="14" max="14" width="2.6640625" style="461" customWidth="1"/>
    <col min="15" max="15" width="71.88671875" style="461" hidden="1" customWidth="1"/>
    <col min="16" max="16384" width="9.109375" style="461"/>
  </cols>
  <sheetData>
    <row r="2" spans="1:16" x14ac:dyDescent="0.25">
      <c r="C2" s="421" t="s">
        <v>113</v>
      </c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</row>
    <row r="3" spans="1:16" ht="3" customHeight="1" x14ac:dyDescent="0.25"/>
    <row r="4" spans="1:16" x14ac:dyDescent="0.25">
      <c r="C4" s="460" t="s">
        <v>434</v>
      </c>
      <c r="D4" s="460"/>
      <c r="E4" s="460"/>
      <c r="F4" s="460"/>
      <c r="G4" s="460"/>
      <c r="I4" s="460"/>
      <c r="K4" s="460"/>
      <c r="M4" s="460"/>
    </row>
    <row r="5" spans="1:16" x14ac:dyDescent="0.25">
      <c r="C5" s="460"/>
      <c r="D5" s="460"/>
      <c r="E5" s="460"/>
      <c r="F5" s="460"/>
      <c r="G5" s="460"/>
      <c r="I5" s="460"/>
      <c r="K5" s="460"/>
      <c r="M5" s="460"/>
    </row>
    <row r="6" spans="1:16" ht="15" customHeight="1" x14ac:dyDescent="0.25">
      <c r="B6" s="791" t="s">
        <v>114</v>
      </c>
      <c r="C6" s="791" t="s">
        <v>115</v>
      </c>
      <c r="D6" s="462"/>
      <c r="E6" s="463" t="s">
        <v>116</v>
      </c>
      <c r="F6" s="464"/>
      <c r="G6" s="463" t="s">
        <v>117</v>
      </c>
      <c r="I6" s="463" t="s">
        <v>118</v>
      </c>
      <c r="K6" s="463" t="s">
        <v>118</v>
      </c>
      <c r="M6" s="463" t="s">
        <v>119</v>
      </c>
      <c r="O6" s="463"/>
    </row>
    <row r="7" spans="1:16" ht="15" customHeight="1" thickBot="1" x14ac:dyDescent="0.3">
      <c r="B7" s="796"/>
      <c r="C7" s="796"/>
      <c r="D7" s="465"/>
      <c r="E7" s="678">
        <v>2024</v>
      </c>
      <c r="F7" s="467"/>
      <c r="G7" s="829" t="s">
        <v>475</v>
      </c>
      <c r="I7" s="469" t="s">
        <v>120</v>
      </c>
      <c r="K7" s="469" t="s">
        <v>121</v>
      </c>
      <c r="M7" s="830" t="s">
        <v>122</v>
      </c>
      <c r="O7" s="469" t="s">
        <v>123</v>
      </c>
    </row>
    <row r="8" spans="1:16" ht="15" customHeight="1" x14ac:dyDescent="0.25">
      <c r="B8" s="422" t="s">
        <v>379</v>
      </c>
      <c r="C8" s="423" t="s">
        <v>380</v>
      </c>
      <c r="E8" s="424">
        <v>20000</v>
      </c>
      <c r="F8" s="470"/>
      <c r="G8" s="839">
        <f>630.8+752.5+1054+1097.68+1089.65+116+3855+7192.52+3032.87+3795+2475.67+630+440</f>
        <v>26161.690000000002</v>
      </c>
      <c r="H8" s="472"/>
      <c r="I8" s="471">
        <f>+E8-G8</f>
        <v>-6161.6900000000023</v>
      </c>
      <c r="J8" s="472"/>
      <c r="K8" s="471">
        <f>G8+I8</f>
        <v>20000</v>
      </c>
      <c r="L8" s="472"/>
      <c r="M8" s="839">
        <f>G8-E8</f>
        <v>6161.6900000000023</v>
      </c>
      <c r="N8" s="472"/>
      <c r="O8" s="473" t="s">
        <v>476</v>
      </c>
      <c r="P8" s="472"/>
    </row>
    <row r="9" spans="1:16" ht="15" customHeight="1" x14ac:dyDescent="0.25">
      <c r="B9" s="425" t="s">
        <v>381</v>
      </c>
      <c r="C9" s="426" t="s">
        <v>382</v>
      </c>
      <c r="E9" s="427">
        <v>6500</v>
      </c>
      <c r="F9" s="470"/>
      <c r="G9" s="837">
        <f>1268.86+36.02+235.47+2279.96+395.4+693+3027.03</f>
        <v>7935.74</v>
      </c>
      <c r="H9" s="472"/>
      <c r="I9" s="471">
        <v>0</v>
      </c>
      <c r="J9" s="472"/>
      <c r="K9" s="471">
        <f>G9+I9</f>
        <v>7935.74</v>
      </c>
      <c r="L9" s="472"/>
      <c r="M9" s="837">
        <f t="shared" ref="M9:M27" si="0">G9-E9</f>
        <v>1435.7399999999998</v>
      </c>
      <c r="N9" s="472"/>
      <c r="O9" s="473" t="s">
        <v>477</v>
      </c>
      <c r="P9" s="472"/>
    </row>
    <row r="10" spans="1:16" s="472" customFormat="1" ht="15" customHeight="1" x14ac:dyDescent="0.25">
      <c r="A10" s="474"/>
      <c r="B10" s="425" t="s">
        <v>383</v>
      </c>
      <c r="C10" s="426" t="s">
        <v>384</v>
      </c>
      <c r="E10" s="428">
        <v>5000</v>
      </c>
      <c r="F10" s="475"/>
      <c r="G10" s="837">
        <f>298+648+279+2300</f>
        <v>3525</v>
      </c>
      <c r="I10" s="471">
        <f t="shared" ref="I10:I26" si="1">+E10-G10</f>
        <v>1475</v>
      </c>
      <c r="K10" s="471">
        <f t="shared" ref="K10:K27" si="2">G10+I10</f>
        <v>5000</v>
      </c>
      <c r="M10" s="837">
        <f t="shared" si="0"/>
        <v>-1475</v>
      </c>
      <c r="O10" s="476" t="s">
        <v>478</v>
      </c>
    </row>
    <row r="11" spans="1:16" s="472" customFormat="1" ht="15" customHeight="1" x14ac:dyDescent="0.25">
      <c r="A11" s="474"/>
      <c r="B11" s="425" t="s">
        <v>385</v>
      </c>
      <c r="C11" s="426" t="s">
        <v>386</v>
      </c>
      <c r="E11" s="429">
        <v>5000</v>
      </c>
      <c r="F11" s="475"/>
      <c r="G11" s="837">
        <f>4400+642.73+112.97+527.38+613.04+800</f>
        <v>7096.12</v>
      </c>
      <c r="I11" s="471">
        <v>0</v>
      </c>
      <c r="K11" s="471">
        <f t="shared" si="2"/>
        <v>7096.12</v>
      </c>
      <c r="M11" s="837">
        <f t="shared" si="0"/>
        <v>2096.12</v>
      </c>
      <c r="O11" s="473" t="s">
        <v>479</v>
      </c>
    </row>
    <row r="12" spans="1:16" s="472" customFormat="1" ht="15" customHeight="1" x14ac:dyDescent="0.25">
      <c r="A12" s="474"/>
      <c r="B12" s="425" t="s">
        <v>387</v>
      </c>
      <c r="C12" s="426" t="s">
        <v>388</v>
      </c>
      <c r="E12" s="429">
        <v>7500</v>
      </c>
      <c r="F12" s="475"/>
      <c r="G12" s="837">
        <v>7500</v>
      </c>
      <c r="I12" s="471">
        <f t="shared" si="1"/>
        <v>0</v>
      </c>
      <c r="K12" s="471">
        <f t="shared" si="2"/>
        <v>7500</v>
      </c>
      <c r="M12" s="837">
        <f t="shared" si="0"/>
        <v>0</v>
      </c>
      <c r="O12" s="477"/>
    </row>
    <row r="13" spans="1:16" s="472" customFormat="1" ht="15" customHeight="1" x14ac:dyDescent="0.25">
      <c r="A13" s="474"/>
      <c r="B13" s="425" t="s">
        <v>389</v>
      </c>
      <c r="C13" s="426" t="s">
        <v>390</v>
      </c>
      <c r="E13" s="429">
        <v>24000</v>
      </c>
      <c r="F13" s="475"/>
      <c r="G13" s="837">
        <f>30400-7500</f>
        <v>22900</v>
      </c>
      <c r="I13" s="471">
        <f t="shared" si="1"/>
        <v>1100</v>
      </c>
      <c r="K13" s="471">
        <f t="shared" si="2"/>
        <v>24000</v>
      </c>
      <c r="M13" s="837">
        <f t="shared" si="0"/>
        <v>-1100</v>
      </c>
      <c r="O13" s="473" t="s">
        <v>480</v>
      </c>
    </row>
    <row r="14" spans="1:16" s="472" customFormat="1" ht="13.8" x14ac:dyDescent="0.25">
      <c r="A14" s="474"/>
      <c r="B14" s="425" t="s">
        <v>391</v>
      </c>
      <c r="C14" s="426" t="s">
        <v>392</v>
      </c>
      <c r="E14" s="429">
        <v>13000</v>
      </c>
      <c r="F14" s="475"/>
      <c r="G14" s="837">
        <f>5489.5+2180+1941.16</f>
        <v>9610.66</v>
      </c>
      <c r="I14" s="471">
        <f t="shared" si="1"/>
        <v>3389.34</v>
      </c>
      <c r="K14" s="471">
        <f t="shared" si="2"/>
        <v>13000</v>
      </c>
      <c r="M14" s="837">
        <f t="shared" si="0"/>
        <v>-3389.34</v>
      </c>
      <c r="O14" s="478" t="s">
        <v>481</v>
      </c>
    </row>
    <row r="15" spans="1:16" s="472" customFormat="1" ht="32.4" customHeight="1" x14ac:dyDescent="0.3">
      <c r="A15" s="474"/>
      <c r="B15" s="425" t="s">
        <v>393</v>
      </c>
      <c r="C15" s="479" t="s">
        <v>394</v>
      </c>
      <c r="E15" s="430">
        <v>30000</v>
      </c>
      <c r="G15" s="837">
        <f>5210+7174.47+12500</f>
        <v>24884.47</v>
      </c>
      <c r="I15" s="471">
        <f t="shared" si="1"/>
        <v>5115.5299999999988</v>
      </c>
      <c r="K15" s="471">
        <f t="shared" si="2"/>
        <v>30000</v>
      </c>
      <c r="M15" s="837">
        <f t="shared" si="0"/>
        <v>-5115.5299999999988</v>
      </c>
      <c r="O15" s="533" t="s">
        <v>482</v>
      </c>
    </row>
    <row r="16" spans="1:16" s="472" customFormat="1" ht="17.25" customHeight="1" x14ac:dyDescent="0.25">
      <c r="A16" s="474"/>
      <c r="B16" s="425" t="s">
        <v>395</v>
      </c>
      <c r="C16" s="431" t="s">
        <v>396</v>
      </c>
      <c r="E16" s="429">
        <v>4000</v>
      </c>
      <c r="F16" s="480"/>
      <c r="G16" s="836">
        <f>779.69+2210+1925</f>
        <v>4914.6900000000005</v>
      </c>
      <c r="I16" s="471">
        <v>0</v>
      </c>
      <c r="K16" s="471">
        <f t="shared" si="2"/>
        <v>4914.6900000000005</v>
      </c>
      <c r="M16" s="837">
        <f t="shared" si="0"/>
        <v>914.69000000000051</v>
      </c>
      <c r="O16" s="482" t="s">
        <v>483</v>
      </c>
    </row>
    <row r="17" spans="1:15" s="472" customFormat="1" ht="17.25" customHeight="1" x14ac:dyDescent="0.25">
      <c r="A17" s="474"/>
      <c r="B17" s="425" t="s">
        <v>397</v>
      </c>
      <c r="C17" s="431" t="s">
        <v>398</v>
      </c>
      <c r="E17" s="429">
        <v>8500</v>
      </c>
      <c r="F17" s="480"/>
      <c r="G17" s="836"/>
      <c r="I17" s="471">
        <f t="shared" si="1"/>
        <v>8500</v>
      </c>
      <c r="K17" s="471">
        <f t="shared" si="2"/>
        <v>8500</v>
      </c>
      <c r="M17" s="837">
        <f t="shared" si="0"/>
        <v>-8500</v>
      </c>
      <c r="O17" s="482"/>
    </row>
    <row r="18" spans="1:15" s="472" customFormat="1" ht="27" customHeight="1" x14ac:dyDescent="0.25">
      <c r="A18" s="474"/>
      <c r="B18" s="425" t="s">
        <v>399</v>
      </c>
      <c r="C18" s="833" t="s">
        <v>400</v>
      </c>
      <c r="E18" s="430">
        <v>12000</v>
      </c>
      <c r="F18" s="475"/>
      <c r="G18" s="837">
        <v>9201.42</v>
      </c>
      <c r="I18" s="471">
        <f t="shared" si="1"/>
        <v>2798.58</v>
      </c>
      <c r="K18" s="471">
        <f t="shared" si="2"/>
        <v>12000</v>
      </c>
      <c r="M18" s="837">
        <f t="shared" si="0"/>
        <v>-2798.58</v>
      </c>
      <c r="O18" s="534" t="s">
        <v>484</v>
      </c>
    </row>
    <row r="19" spans="1:15" s="472" customFormat="1" ht="28.8" customHeight="1" x14ac:dyDescent="0.25">
      <c r="A19" s="474"/>
      <c r="B19" s="425" t="s">
        <v>401</v>
      </c>
      <c r="C19" s="433" t="s">
        <v>402</v>
      </c>
      <c r="E19" s="430">
        <f>4800+5500+3500</f>
        <v>13800</v>
      </c>
      <c r="G19" s="837">
        <f>158.37+4253.03+3271.75+4245.64+3271.74</f>
        <v>15200.53</v>
      </c>
      <c r="I19" s="471">
        <v>0</v>
      </c>
      <c r="K19" s="471">
        <f t="shared" si="2"/>
        <v>15200.53</v>
      </c>
      <c r="M19" s="837">
        <f t="shared" si="0"/>
        <v>1400.5300000000007</v>
      </c>
      <c r="O19" s="477" t="s">
        <v>485</v>
      </c>
    </row>
    <row r="20" spans="1:15" s="472" customFormat="1" ht="15" customHeight="1" x14ac:dyDescent="0.25">
      <c r="A20" s="474"/>
      <c r="B20" s="425" t="s">
        <v>403</v>
      </c>
      <c r="C20" s="431" t="s">
        <v>228</v>
      </c>
      <c r="E20" s="429">
        <v>8000</v>
      </c>
      <c r="G20" s="837">
        <f>8323</f>
        <v>8323</v>
      </c>
      <c r="I20" s="471">
        <v>0</v>
      </c>
      <c r="K20" s="471">
        <f t="shared" si="2"/>
        <v>8323</v>
      </c>
      <c r="M20" s="837">
        <f t="shared" si="0"/>
        <v>323</v>
      </c>
      <c r="O20" s="473" t="s">
        <v>486</v>
      </c>
    </row>
    <row r="21" spans="1:15" s="472" customFormat="1" ht="15" customHeight="1" x14ac:dyDescent="0.25">
      <c r="A21" s="474"/>
      <c r="B21" s="425" t="s">
        <v>404</v>
      </c>
      <c r="C21" s="434" t="s">
        <v>405</v>
      </c>
      <c r="E21" s="429">
        <v>9000</v>
      </c>
      <c r="G21" s="837">
        <f>3325+822.37+503.85</f>
        <v>4651.22</v>
      </c>
      <c r="I21" s="471">
        <f t="shared" si="1"/>
        <v>4348.78</v>
      </c>
      <c r="K21" s="471">
        <f t="shared" si="2"/>
        <v>9000</v>
      </c>
      <c r="M21" s="837">
        <f t="shared" si="0"/>
        <v>-4348.78</v>
      </c>
      <c r="O21" s="473" t="s">
        <v>487</v>
      </c>
    </row>
    <row r="22" spans="1:15" s="472" customFormat="1" ht="32.4" customHeight="1" x14ac:dyDescent="0.25">
      <c r="A22" s="474"/>
      <c r="B22" s="425" t="s">
        <v>406</v>
      </c>
      <c r="C22" s="426" t="s">
        <v>407</v>
      </c>
      <c r="E22" s="429">
        <v>13000</v>
      </c>
      <c r="G22" s="837">
        <f>6775+644.14+303.86</f>
        <v>7723</v>
      </c>
      <c r="I22" s="471">
        <f t="shared" si="1"/>
        <v>5277</v>
      </c>
      <c r="K22" s="471">
        <f t="shared" si="2"/>
        <v>13000</v>
      </c>
      <c r="M22" s="837">
        <f t="shared" si="0"/>
        <v>-5277</v>
      </c>
      <c r="O22" s="535" t="s">
        <v>488</v>
      </c>
    </row>
    <row r="23" spans="1:15" s="472" customFormat="1" ht="29.4" customHeight="1" x14ac:dyDescent="0.25">
      <c r="A23" s="474"/>
      <c r="B23" s="425" t="s">
        <v>408</v>
      </c>
      <c r="C23" s="426" t="s">
        <v>409</v>
      </c>
      <c r="E23" s="429">
        <v>5500</v>
      </c>
      <c r="G23" s="837">
        <f>3114.95</f>
        <v>3114.95</v>
      </c>
      <c r="I23" s="471">
        <f t="shared" si="1"/>
        <v>2385.0500000000002</v>
      </c>
      <c r="K23" s="471">
        <f t="shared" si="2"/>
        <v>5500</v>
      </c>
      <c r="M23" s="837">
        <f t="shared" si="0"/>
        <v>-2385.0500000000002</v>
      </c>
      <c r="O23" s="482" t="s">
        <v>489</v>
      </c>
    </row>
    <row r="24" spans="1:15" s="472" customFormat="1" ht="15" customHeight="1" x14ac:dyDescent="0.25">
      <c r="A24" s="474"/>
      <c r="B24" s="425" t="s">
        <v>410</v>
      </c>
      <c r="C24" s="426" t="s">
        <v>411</v>
      </c>
      <c r="E24" s="429">
        <v>8000</v>
      </c>
      <c r="G24" s="840">
        <f>2950+371.98</f>
        <v>3321.98</v>
      </c>
      <c r="I24" s="471">
        <f t="shared" si="1"/>
        <v>4678.0200000000004</v>
      </c>
      <c r="K24" s="471">
        <f t="shared" si="2"/>
        <v>8000</v>
      </c>
      <c r="M24" s="837">
        <f t="shared" si="0"/>
        <v>-4678.0200000000004</v>
      </c>
      <c r="O24" s="476" t="s">
        <v>490</v>
      </c>
    </row>
    <row r="25" spans="1:15" s="472" customFormat="1" ht="15" customHeight="1" x14ac:dyDescent="0.25">
      <c r="A25" s="474"/>
      <c r="B25" s="425" t="s">
        <v>412</v>
      </c>
      <c r="C25" s="426" t="s">
        <v>413</v>
      </c>
      <c r="E25" s="429">
        <v>4500</v>
      </c>
      <c r="G25" s="840">
        <v>4000</v>
      </c>
      <c r="I25" s="471">
        <f t="shared" si="1"/>
        <v>500</v>
      </c>
      <c r="K25" s="471">
        <f t="shared" si="2"/>
        <v>4500</v>
      </c>
      <c r="M25" s="837">
        <f t="shared" si="0"/>
        <v>-500</v>
      </c>
      <c r="O25" s="476" t="s">
        <v>491</v>
      </c>
    </row>
    <row r="26" spans="1:15" s="472" customFormat="1" ht="15" customHeight="1" x14ac:dyDescent="0.25">
      <c r="A26" s="474"/>
      <c r="B26" s="425" t="s">
        <v>414</v>
      </c>
      <c r="C26" s="426" t="s">
        <v>415</v>
      </c>
      <c r="E26" s="429">
        <v>10000</v>
      </c>
      <c r="G26" s="840">
        <f>1796+558+300+681+482.5+420</f>
        <v>4237.5</v>
      </c>
      <c r="I26" s="471">
        <f t="shared" si="1"/>
        <v>5762.5</v>
      </c>
      <c r="K26" s="471">
        <f t="shared" si="2"/>
        <v>10000</v>
      </c>
      <c r="M26" s="837">
        <f t="shared" si="0"/>
        <v>-5762.5</v>
      </c>
      <c r="O26" s="476" t="s">
        <v>492</v>
      </c>
    </row>
    <row r="27" spans="1:15" s="472" customFormat="1" ht="43.2" customHeight="1" x14ac:dyDescent="0.25">
      <c r="A27" s="474"/>
      <c r="B27" s="425" t="s">
        <v>416</v>
      </c>
      <c r="C27" s="435" t="s">
        <v>94</v>
      </c>
      <c r="E27" s="436">
        <v>15000</v>
      </c>
      <c r="G27" s="841">
        <f>-18023.69+4400.75+6473+23800.5+5125.25+5150+1918+1918+5150+835+835+7000</f>
        <v>44581.81</v>
      </c>
      <c r="I27" s="471">
        <v>0</v>
      </c>
      <c r="K27" s="471">
        <f t="shared" si="2"/>
        <v>44581.81</v>
      </c>
      <c r="M27" s="837">
        <f t="shared" si="0"/>
        <v>29581.809999999998</v>
      </c>
      <c r="O27" s="535" t="s">
        <v>493</v>
      </c>
    </row>
    <row r="28" spans="1:15" s="472" customFormat="1" ht="15" customHeight="1" x14ac:dyDescent="0.25">
      <c r="A28" s="474"/>
      <c r="B28" s="831"/>
      <c r="C28" s="831"/>
      <c r="E28" s="836"/>
      <c r="G28" s="840"/>
      <c r="I28" s="471"/>
      <c r="K28" s="471"/>
      <c r="M28" s="837"/>
      <c r="O28" s="476"/>
    </row>
    <row r="29" spans="1:15" s="472" customFormat="1" ht="15" customHeight="1" x14ac:dyDescent="0.25">
      <c r="A29" s="474"/>
      <c r="B29" s="831"/>
      <c r="C29" s="834"/>
      <c r="E29" s="837"/>
      <c r="G29" s="837"/>
      <c r="I29" s="471"/>
      <c r="K29" s="471">
        <f>G29+I29</f>
        <v>0</v>
      </c>
      <c r="M29" s="837">
        <f>K29-E29</f>
        <v>0</v>
      </c>
      <c r="O29" s="476"/>
    </row>
    <row r="30" spans="1:15" s="487" customFormat="1" ht="15" customHeight="1" thickBot="1" x14ac:dyDescent="0.3">
      <c r="A30" s="485"/>
      <c r="B30" s="832"/>
      <c r="C30" s="835" t="s">
        <v>435</v>
      </c>
      <c r="E30" s="838">
        <f>SUM(E8:E29)</f>
        <v>222300</v>
      </c>
      <c r="G30" s="838">
        <f>SUM(G8:G29)</f>
        <v>218883.78000000003</v>
      </c>
      <c r="I30" s="488">
        <f>SUM(I8:I29)</f>
        <v>39168.11</v>
      </c>
      <c r="K30" s="488">
        <f>SUM(K8:K29)</f>
        <v>258051.88999999998</v>
      </c>
      <c r="M30" s="838">
        <f>SUM(M8:M29)</f>
        <v>-3416.2200000000012</v>
      </c>
    </row>
    <row r="31" spans="1:15" ht="15" customHeight="1" x14ac:dyDescent="0.25">
      <c r="E31" s="489"/>
      <c r="F31" s="489"/>
      <c r="G31" s="489"/>
      <c r="I31" s="489"/>
      <c r="K31" s="489"/>
      <c r="M31" s="489"/>
    </row>
    <row r="32" spans="1:15" ht="15" customHeight="1" x14ac:dyDescent="0.25">
      <c r="E32" s="489"/>
      <c r="F32" s="489"/>
      <c r="G32" s="489"/>
      <c r="I32" s="490"/>
      <c r="K32" s="489"/>
      <c r="M32" s="489"/>
    </row>
    <row r="33" spans="5:15" ht="17.100000000000001" customHeight="1" x14ac:dyDescent="0.3">
      <c r="E33" s="489"/>
      <c r="F33" s="489"/>
      <c r="G33" s="489"/>
      <c r="I33" s="489"/>
      <c r="K33" s="489"/>
      <c r="M33" s="489"/>
      <c r="O33" s="491"/>
    </row>
  </sheetData>
  <mergeCells count="2">
    <mergeCell ref="B6:B7"/>
    <mergeCell ref="C6:C7"/>
  </mergeCells>
  <pageMargins left="1" right="1" top="1" bottom="1" header="0.5" footer="0.5"/>
  <pageSetup scale="45" orientation="landscape" r:id="rId1"/>
  <colBreaks count="1" manualBreakCount="1">
    <brk id="15" max="5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FC12E-6029-4D01-9422-01D0AAEB60B7}">
  <sheetPr>
    <pageSetUpPr fitToPage="1"/>
  </sheetPr>
  <dimension ref="A2:Q31"/>
  <sheetViews>
    <sheetView zoomScaleNormal="100" workbookViewId="0">
      <selection activeCell="T11" sqref="T11"/>
    </sheetView>
  </sheetViews>
  <sheetFormatPr defaultColWidth="9.109375" defaultRowHeight="13.2" x14ac:dyDescent="0.25"/>
  <cols>
    <col min="1" max="1" width="1.6640625" style="459" customWidth="1"/>
    <col min="2" max="2" width="12.109375" style="459" hidden="1" customWidth="1"/>
    <col min="3" max="3" width="67.109375" style="461" customWidth="1"/>
    <col min="4" max="4" width="3.6640625" style="461" customWidth="1"/>
    <col min="5" max="5" width="12.6640625" style="461" customWidth="1"/>
    <col min="6" max="6" width="2.44140625" style="461" customWidth="1"/>
    <col min="7" max="7" width="18" style="461" customWidth="1"/>
    <col min="8" max="8" width="3.109375" style="461" customWidth="1"/>
    <col min="9" max="9" width="12.6640625" style="461" hidden="1" customWidth="1"/>
    <col min="10" max="10" width="2.6640625" style="493" hidden="1" customWidth="1"/>
    <col min="11" max="11" width="12.6640625" style="461" hidden="1" customWidth="1"/>
    <col min="12" max="12" width="2.6640625" style="493" hidden="1" customWidth="1"/>
    <col min="13" max="13" width="12.33203125" style="461" customWidth="1"/>
    <col min="14" max="15" width="2.6640625" style="493" hidden="1" customWidth="1"/>
    <col min="16" max="16" width="70.44140625" style="461" hidden="1" customWidth="1"/>
    <col min="17" max="16384" width="9.109375" style="461"/>
  </cols>
  <sheetData>
    <row r="2" spans="1:17" x14ac:dyDescent="0.25">
      <c r="C2" s="421" t="s">
        <v>113</v>
      </c>
      <c r="D2" s="460"/>
      <c r="E2" s="460"/>
      <c r="G2" s="460"/>
      <c r="H2" s="460"/>
      <c r="I2" s="460"/>
      <c r="J2" s="460"/>
      <c r="K2" s="460"/>
      <c r="L2" s="460"/>
      <c r="M2" s="460"/>
      <c r="N2" s="460"/>
      <c r="O2" s="460"/>
      <c r="P2" s="492"/>
      <c r="Q2" s="460"/>
    </row>
    <row r="3" spans="1:17" ht="3" customHeight="1" x14ac:dyDescent="0.25"/>
    <row r="4" spans="1:17" x14ac:dyDescent="0.25">
      <c r="C4" s="460" t="s">
        <v>436</v>
      </c>
      <c r="D4" s="460"/>
      <c r="E4" s="460"/>
      <c r="G4" s="460"/>
    </row>
    <row r="5" spans="1:17" x14ac:dyDescent="0.25">
      <c r="C5" s="460"/>
      <c r="D5" s="460"/>
      <c r="E5" s="494" t="s">
        <v>116</v>
      </c>
      <c r="G5" s="494" t="s">
        <v>124</v>
      </c>
      <c r="I5" s="463" t="s">
        <v>118</v>
      </c>
      <c r="J5" s="495"/>
      <c r="K5" s="463" t="s">
        <v>118</v>
      </c>
      <c r="L5" s="495"/>
      <c r="M5" s="463" t="s">
        <v>377</v>
      </c>
      <c r="N5" s="495"/>
      <c r="O5" s="495"/>
      <c r="P5" s="494"/>
    </row>
    <row r="6" spans="1:17" ht="15" customHeight="1" thickBot="1" x14ac:dyDescent="0.3">
      <c r="B6" s="496" t="s">
        <v>125</v>
      </c>
      <c r="C6" s="688" t="s">
        <v>126</v>
      </c>
      <c r="D6" s="462"/>
      <c r="E6" s="847">
        <v>2024</v>
      </c>
      <c r="G6" s="848" t="s">
        <v>475</v>
      </c>
      <c r="I6" s="469" t="s">
        <v>120</v>
      </c>
      <c r="J6" s="495"/>
      <c r="K6" s="469" t="s">
        <v>121</v>
      </c>
      <c r="L6" s="495"/>
      <c r="M6" s="830" t="s">
        <v>116</v>
      </c>
      <c r="N6" s="495"/>
      <c r="O6" s="495"/>
      <c r="P6" s="499" t="s">
        <v>123</v>
      </c>
    </row>
    <row r="7" spans="1:17" ht="39" customHeight="1" x14ac:dyDescent="0.25">
      <c r="B7" s="842" t="s">
        <v>417</v>
      </c>
      <c r="C7" s="849" t="s">
        <v>418</v>
      </c>
      <c r="E7" s="853">
        <v>80000</v>
      </c>
      <c r="F7" s="493"/>
      <c r="G7" s="839">
        <f>1044+571.51+1245+96+3000+5562+3500+137+2550+6250+137+17604+532.67+1603.96+3398.4</f>
        <v>47231.54</v>
      </c>
      <c r="I7" s="471">
        <f>+E7-G7</f>
        <v>32768.46</v>
      </c>
      <c r="J7" s="472"/>
      <c r="K7" s="500">
        <f>G7+I7</f>
        <v>80000</v>
      </c>
      <c r="L7" s="846"/>
      <c r="M7" s="853">
        <f>G7-E7</f>
        <v>-32768.46</v>
      </c>
      <c r="N7" s="501"/>
      <c r="O7" s="501"/>
      <c r="P7" s="473" t="s">
        <v>494</v>
      </c>
    </row>
    <row r="8" spans="1:17" ht="28.8" customHeight="1" x14ac:dyDescent="0.25">
      <c r="B8" s="843" t="s">
        <v>419</v>
      </c>
      <c r="C8" s="833" t="s">
        <v>420</v>
      </c>
      <c r="D8" s="472"/>
      <c r="E8" s="837">
        <v>100000</v>
      </c>
      <c r="G8" s="837">
        <f>2054.48+422.18+5353.25+1070.65+10000+87.75+23399.4+1035+1924.71+2186.43+15.26+366.84+7003.2+347.21+7003.2+18105+3300.22+9173.55+200+7000+32500</f>
        <v>132548.33000000002</v>
      </c>
      <c r="I8" s="471">
        <v>0</v>
      </c>
      <c r="J8" s="472"/>
      <c r="K8" s="500">
        <f t="shared" ref="K8:K23" si="0">G8+I8</f>
        <v>132548.33000000002</v>
      </c>
      <c r="L8" s="461"/>
      <c r="M8" s="854">
        <f t="shared" ref="M8:M22" si="1">G8-E8</f>
        <v>32548.330000000016</v>
      </c>
      <c r="N8" s="461"/>
      <c r="O8" s="502"/>
      <c r="P8" s="535" t="s">
        <v>495</v>
      </c>
    </row>
    <row r="9" spans="1:17" s="472" customFormat="1" ht="15" customHeight="1" x14ac:dyDescent="0.25">
      <c r="A9" s="474"/>
      <c r="B9" s="844" t="s">
        <v>421</v>
      </c>
      <c r="C9" s="426" t="s">
        <v>422</v>
      </c>
      <c r="E9" s="854">
        <v>48000</v>
      </c>
      <c r="G9" s="837">
        <f>500+6941+9000+60+654+16000+8000+10000</f>
        <v>51155</v>
      </c>
      <c r="I9" s="471">
        <v>0</v>
      </c>
      <c r="K9" s="500">
        <f t="shared" si="0"/>
        <v>51155</v>
      </c>
      <c r="M9" s="854">
        <f t="shared" si="1"/>
        <v>3155</v>
      </c>
      <c r="O9" s="503"/>
      <c r="P9" s="473" t="s">
        <v>496</v>
      </c>
    </row>
    <row r="10" spans="1:17" s="472" customFormat="1" ht="15" customHeight="1" x14ac:dyDescent="0.25">
      <c r="A10" s="474"/>
      <c r="B10" s="844" t="s">
        <v>423</v>
      </c>
      <c r="C10" s="850" t="s">
        <v>424</v>
      </c>
      <c r="E10" s="854">
        <v>38000</v>
      </c>
      <c r="G10" s="837"/>
      <c r="I10" s="471">
        <f t="shared" ref="I10:I12" si="2">+E10-G10</f>
        <v>38000</v>
      </c>
      <c r="K10" s="500">
        <f t="shared" si="0"/>
        <v>38000</v>
      </c>
      <c r="M10" s="854">
        <f t="shared" si="1"/>
        <v>-38000</v>
      </c>
      <c r="O10" s="503"/>
      <c r="P10" s="483"/>
    </row>
    <row r="11" spans="1:17" s="472" customFormat="1" ht="33" customHeight="1" x14ac:dyDescent="0.25">
      <c r="A11" s="474"/>
      <c r="B11" s="844" t="s">
        <v>425</v>
      </c>
      <c r="C11" s="851" t="s">
        <v>426</v>
      </c>
      <c r="E11" s="854">
        <v>34000</v>
      </c>
      <c r="G11" s="837">
        <f>226+1600+742.5+4329</f>
        <v>6897.5</v>
      </c>
      <c r="I11" s="471">
        <f t="shared" si="2"/>
        <v>27102.5</v>
      </c>
      <c r="K11" s="500">
        <f t="shared" si="0"/>
        <v>34000</v>
      </c>
      <c r="M11" s="854">
        <f t="shared" si="1"/>
        <v>-27102.5</v>
      </c>
      <c r="O11" s="503"/>
      <c r="P11" s="476" t="s">
        <v>497</v>
      </c>
    </row>
    <row r="12" spans="1:17" s="472" customFormat="1" ht="15" customHeight="1" x14ac:dyDescent="0.25">
      <c r="A12" s="474"/>
      <c r="B12" s="844" t="s">
        <v>427</v>
      </c>
      <c r="C12" s="426" t="s">
        <v>428</v>
      </c>
      <c r="E12" s="854">
        <v>20500</v>
      </c>
      <c r="G12" s="837">
        <f>20500</f>
        <v>20500</v>
      </c>
      <c r="I12" s="471">
        <f t="shared" si="2"/>
        <v>0</v>
      </c>
      <c r="K12" s="500">
        <f t="shared" si="0"/>
        <v>20500</v>
      </c>
      <c r="M12" s="854">
        <f t="shared" si="1"/>
        <v>0</v>
      </c>
      <c r="O12" s="503"/>
      <c r="P12" s="483"/>
    </row>
    <row r="13" spans="1:17" s="472" customFormat="1" ht="15" customHeight="1" x14ac:dyDescent="0.25">
      <c r="A13" s="474"/>
      <c r="B13" s="844" t="s">
        <v>429</v>
      </c>
      <c r="C13" s="852" t="s">
        <v>430</v>
      </c>
      <c r="E13" s="854">
        <v>12000</v>
      </c>
      <c r="G13" s="837">
        <f>156+3069+72.13+16357.28+19447.32</f>
        <v>39101.729999999996</v>
      </c>
      <c r="I13" s="471">
        <v>0</v>
      </c>
      <c r="K13" s="500">
        <f t="shared" si="0"/>
        <v>39101.729999999996</v>
      </c>
      <c r="M13" s="854">
        <f t="shared" si="1"/>
        <v>27101.729999999996</v>
      </c>
      <c r="O13" s="503"/>
      <c r="P13" s="473" t="s">
        <v>498</v>
      </c>
    </row>
    <row r="14" spans="1:17" s="472" customFormat="1" ht="15" customHeight="1" x14ac:dyDescent="0.25">
      <c r="A14" s="474"/>
      <c r="B14" s="845"/>
      <c r="C14" s="834"/>
      <c r="E14" s="854"/>
      <c r="G14" s="837"/>
      <c r="I14" s="471"/>
      <c r="K14" s="500">
        <f t="shared" si="0"/>
        <v>0</v>
      </c>
      <c r="M14" s="854">
        <f t="shared" si="1"/>
        <v>0</v>
      </c>
      <c r="P14" s="483"/>
    </row>
    <row r="15" spans="1:17" s="472" customFormat="1" ht="15" customHeight="1" x14ac:dyDescent="0.25">
      <c r="A15" s="474"/>
      <c r="B15" s="845"/>
      <c r="C15" s="435" t="s">
        <v>94</v>
      </c>
      <c r="E15" s="854"/>
      <c r="G15" s="837">
        <v>98976.56</v>
      </c>
      <c r="I15" s="471"/>
      <c r="K15" s="500">
        <f t="shared" si="0"/>
        <v>98976.56</v>
      </c>
      <c r="M15" s="854">
        <f t="shared" si="1"/>
        <v>98976.56</v>
      </c>
      <c r="P15" s="473" t="s">
        <v>499</v>
      </c>
    </row>
    <row r="16" spans="1:17" s="472" customFormat="1" ht="15" customHeight="1" x14ac:dyDescent="0.25">
      <c r="A16" s="474"/>
      <c r="B16" s="845"/>
      <c r="C16" s="435" t="s">
        <v>94</v>
      </c>
      <c r="E16" s="854"/>
      <c r="G16" s="837">
        <v>66574.67</v>
      </c>
      <c r="I16" s="471"/>
      <c r="K16" s="500">
        <f t="shared" si="0"/>
        <v>66574.67</v>
      </c>
      <c r="M16" s="854">
        <f t="shared" si="1"/>
        <v>66574.67</v>
      </c>
      <c r="P16" s="473" t="s">
        <v>500</v>
      </c>
    </row>
    <row r="17" spans="1:16" s="472" customFormat="1" ht="15" customHeight="1" x14ac:dyDescent="0.25">
      <c r="A17" s="474"/>
      <c r="B17" s="845"/>
      <c r="C17" s="435" t="s">
        <v>94</v>
      </c>
      <c r="E17" s="854"/>
      <c r="G17" s="837">
        <v>5080</v>
      </c>
      <c r="I17" s="471"/>
      <c r="K17" s="500">
        <f t="shared" si="0"/>
        <v>5080</v>
      </c>
      <c r="M17" s="854">
        <f t="shared" si="1"/>
        <v>5080</v>
      </c>
      <c r="P17" s="473" t="s">
        <v>501</v>
      </c>
    </row>
    <row r="18" spans="1:16" s="472" customFormat="1" ht="15" customHeight="1" x14ac:dyDescent="0.25">
      <c r="A18" s="474"/>
      <c r="B18" s="845"/>
      <c r="C18" s="435" t="s">
        <v>94</v>
      </c>
      <c r="E18" s="854"/>
      <c r="G18" s="837">
        <v>7254.63</v>
      </c>
      <c r="I18" s="471"/>
      <c r="K18" s="500">
        <f t="shared" si="0"/>
        <v>7254.63</v>
      </c>
      <c r="M18" s="854">
        <f t="shared" si="1"/>
        <v>7254.63</v>
      </c>
      <c r="P18" s="473" t="s">
        <v>502</v>
      </c>
    </row>
    <row r="19" spans="1:16" s="472" customFormat="1" ht="15" customHeight="1" x14ac:dyDescent="0.25">
      <c r="A19" s="474"/>
      <c r="B19" s="845"/>
      <c r="C19" s="435" t="s">
        <v>94</v>
      </c>
      <c r="E19" s="854"/>
      <c r="G19" s="837">
        <v>5770.56</v>
      </c>
      <c r="I19" s="471"/>
      <c r="K19" s="500">
        <f t="shared" si="0"/>
        <v>5770.56</v>
      </c>
      <c r="M19" s="854">
        <f t="shared" si="1"/>
        <v>5770.56</v>
      </c>
      <c r="P19" s="473" t="s">
        <v>503</v>
      </c>
    </row>
    <row r="20" spans="1:16" s="472" customFormat="1" ht="15" customHeight="1" x14ac:dyDescent="0.25">
      <c r="A20" s="474"/>
      <c r="B20" s="845"/>
      <c r="C20" s="435" t="s">
        <v>94</v>
      </c>
      <c r="E20" s="854"/>
      <c r="G20" s="837">
        <v>4813.3</v>
      </c>
      <c r="I20" s="471"/>
      <c r="K20" s="500">
        <f t="shared" si="0"/>
        <v>4813.3</v>
      </c>
      <c r="M20" s="854">
        <f t="shared" si="1"/>
        <v>4813.3</v>
      </c>
      <c r="P20" s="473" t="s">
        <v>504</v>
      </c>
    </row>
    <row r="21" spans="1:16" s="472" customFormat="1" ht="15" customHeight="1" x14ac:dyDescent="0.25">
      <c r="A21" s="474"/>
      <c r="B21" s="845"/>
      <c r="C21" s="435" t="s">
        <v>94</v>
      </c>
      <c r="E21" s="854"/>
      <c r="G21" s="837">
        <v>5080.01</v>
      </c>
      <c r="I21" s="471"/>
      <c r="K21" s="500">
        <f t="shared" si="0"/>
        <v>5080.01</v>
      </c>
      <c r="M21" s="854">
        <f t="shared" si="1"/>
        <v>5080.01</v>
      </c>
      <c r="P21" s="473" t="s">
        <v>505</v>
      </c>
    </row>
    <row r="22" spans="1:16" s="472" customFormat="1" ht="15" customHeight="1" x14ac:dyDescent="0.25">
      <c r="A22" s="474"/>
      <c r="B22" s="845"/>
      <c r="C22" s="435" t="s">
        <v>94</v>
      </c>
      <c r="E22" s="854"/>
      <c r="G22" s="837">
        <v>1270</v>
      </c>
      <c r="I22" s="471"/>
      <c r="K22" s="500">
        <f t="shared" si="0"/>
        <v>1270</v>
      </c>
      <c r="M22" s="854">
        <f t="shared" si="1"/>
        <v>1270</v>
      </c>
      <c r="P22" s="473" t="s">
        <v>506</v>
      </c>
    </row>
    <row r="23" spans="1:16" s="472" customFormat="1" ht="15" customHeight="1" x14ac:dyDescent="0.25">
      <c r="A23" s="474"/>
      <c r="B23" s="845"/>
      <c r="C23" s="834"/>
      <c r="E23" s="854"/>
      <c r="G23" s="837"/>
      <c r="I23" s="471"/>
      <c r="K23" s="500">
        <f t="shared" si="0"/>
        <v>0</v>
      </c>
      <c r="M23" s="854">
        <f t="shared" ref="M23" si="3">E23-G23</f>
        <v>0</v>
      </c>
      <c r="P23" s="483"/>
    </row>
    <row r="24" spans="1:16" ht="15" customHeight="1" x14ac:dyDescent="0.25">
      <c r="B24" s="845"/>
      <c r="C24" s="834"/>
      <c r="D24" s="472"/>
      <c r="E24" s="855"/>
      <c r="F24" s="472"/>
      <c r="G24" s="837"/>
      <c r="H24" s="472"/>
      <c r="I24" s="471"/>
      <c r="J24" s="472"/>
      <c r="K24" s="500">
        <f>+E24</f>
        <v>0</v>
      </c>
      <c r="L24" s="472"/>
      <c r="M24" s="854">
        <f>+E24-G24</f>
        <v>0</v>
      </c>
      <c r="N24" s="472"/>
      <c r="O24" s="472"/>
      <c r="P24" s="476"/>
    </row>
    <row r="25" spans="1:16" s="487" customFormat="1" ht="15" customHeight="1" thickBot="1" x14ac:dyDescent="0.3">
      <c r="A25" s="485"/>
      <c r="B25" s="485"/>
      <c r="C25" s="835" t="s">
        <v>437</v>
      </c>
      <c r="E25" s="838">
        <f>SUM(E7:E24)</f>
        <v>332500</v>
      </c>
      <c r="F25" s="505"/>
      <c r="G25" s="838">
        <f>SUM(G7:G24)</f>
        <v>492253.83</v>
      </c>
      <c r="I25" s="488">
        <f>SUM(I7:I24)</f>
        <v>97870.959999999992</v>
      </c>
      <c r="J25" s="505"/>
      <c r="K25" s="488">
        <f>SUM(K7:K24)</f>
        <v>590124.79000000015</v>
      </c>
      <c r="L25" s="506"/>
      <c r="M25" s="838">
        <f>SUM(M7:M24)</f>
        <v>159753.83000000002</v>
      </c>
      <c r="N25" s="506"/>
      <c r="O25" s="506"/>
    </row>
    <row r="26" spans="1:16" s="487" customFormat="1" ht="15" customHeight="1" x14ac:dyDescent="0.25">
      <c r="A26" s="485"/>
      <c r="B26" s="485"/>
      <c r="E26" s="507"/>
      <c r="F26" s="505"/>
      <c r="G26" s="508"/>
      <c r="I26" s="507"/>
      <c r="J26" s="505"/>
      <c r="K26" s="507"/>
      <c r="L26" s="506"/>
      <c r="M26" s="507"/>
      <c r="N26" s="506"/>
      <c r="O26" s="506"/>
    </row>
    <row r="27" spans="1:16" ht="17.399999999999999" x14ac:dyDescent="0.3">
      <c r="P27" s="491" t="s">
        <v>438</v>
      </c>
    </row>
    <row r="28" spans="1:16" x14ac:dyDescent="0.25">
      <c r="I28" s="461" t="s">
        <v>507</v>
      </c>
    </row>
    <row r="31" spans="1:16" x14ac:dyDescent="0.25">
      <c r="I31" s="509"/>
    </row>
  </sheetData>
  <pageMargins left="1" right="1" top="1" bottom="1" header="0.5" footer="0.5"/>
  <pageSetup scale="56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7D163-5E02-440A-80D9-875EAAABE241}">
  <dimension ref="A2:P34"/>
  <sheetViews>
    <sheetView zoomScale="110" zoomScaleNormal="110" workbookViewId="0">
      <selection activeCell="I4" sqref="I4"/>
    </sheetView>
  </sheetViews>
  <sheetFormatPr defaultColWidth="9.109375" defaultRowHeight="13.2" x14ac:dyDescent="0.25"/>
  <cols>
    <col min="1" max="1" width="1.6640625" style="457" customWidth="1"/>
    <col min="2" max="3" width="9.109375" style="440" hidden="1" customWidth="1"/>
    <col min="4" max="5" width="12.88671875" style="440" hidden="1" customWidth="1"/>
    <col min="6" max="7" width="14.6640625" style="440" hidden="1" customWidth="1"/>
    <col min="8" max="8" width="4" style="440" customWidth="1"/>
    <col min="9" max="10" width="9.109375" style="440"/>
    <col min="11" max="11" width="12.88671875" style="440" bestFit="1" customWidth="1"/>
    <col min="12" max="12" width="11.5546875" style="440" customWidth="1"/>
    <col min="13" max="15" width="14.6640625" style="440" customWidth="1"/>
    <col min="16" max="16" width="31" style="440" customWidth="1"/>
    <col min="17" max="17" width="10.33203125" style="440" bestFit="1" customWidth="1"/>
    <col min="18" max="16384" width="9.109375" style="440"/>
  </cols>
  <sheetData>
    <row r="2" spans="2:16" x14ac:dyDescent="0.25">
      <c r="C2" s="441"/>
      <c r="D2" s="441"/>
      <c r="E2" s="441"/>
      <c r="F2" s="441"/>
      <c r="G2" s="441"/>
      <c r="H2" s="441"/>
      <c r="I2" s="441" t="s">
        <v>113</v>
      </c>
      <c r="J2" s="441"/>
      <c r="K2" s="441"/>
      <c r="L2" s="441"/>
      <c r="M2" s="441"/>
    </row>
    <row r="4" spans="2:16" x14ac:dyDescent="0.25">
      <c r="C4" s="441"/>
      <c r="D4" s="441"/>
      <c r="E4" s="441"/>
      <c r="F4" s="441"/>
      <c r="G4" s="441"/>
      <c r="H4" s="441"/>
      <c r="I4" s="441" t="s">
        <v>431</v>
      </c>
      <c r="J4" s="441"/>
      <c r="K4" s="441"/>
      <c r="L4" s="441"/>
      <c r="M4" s="441"/>
    </row>
    <row r="6" spans="2:16" x14ac:dyDescent="0.25">
      <c r="B6" s="793" t="s">
        <v>127</v>
      </c>
      <c r="C6" s="793"/>
      <c r="D6" s="793"/>
      <c r="E6" s="793"/>
      <c r="F6" s="793"/>
      <c r="G6" s="793"/>
      <c r="I6" s="443" t="s">
        <v>128</v>
      </c>
      <c r="J6" s="443"/>
      <c r="K6" s="443"/>
      <c r="L6" s="443"/>
      <c r="M6" s="442" t="s">
        <v>129</v>
      </c>
      <c r="N6" s="442" t="s">
        <v>130</v>
      </c>
      <c r="O6" s="442" t="s">
        <v>131</v>
      </c>
    </row>
    <row r="8" spans="2:16" x14ac:dyDescent="0.25">
      <c r="B8" s="441" t="s">
        <v>132</v>
      </c>
      <c r="C8" s="441"/>
      <c r="D8" s="441"/>
      <c r="E8" s="441"/>
      <c r="F8" s="444">
        <v>-26726</v>
      </c>
      <c r="G8" s="444">
        <v>-26726</v>
      </c>
      <c r="I8" s="441" t="s">
        <v>432</v>
      </c>
      <c r="J8" s="441"/>
      <c r="K8" s="441"/>
      <c r="L8" s="441"/>
      <c r="M8" s="444">
        <v>39399.619999999966</v>
      </c>
      <c r="N8" s="444">
        <v>1001517.456</v>
      </c>
      <c r="O8" s="445">
        <f>SUM(M8:N8)</f>
        <v>1040917.076</v>
      </c>
      <c r="P8" s="446"/>
    </row>
    <row r="9" spans="2:16" x14ac:dyDescent="0.25">
      <c r="F9" s="447"/>
      <c r="G9" s="447"/>
      <c r="M9" s="447"/>
      <c r="N9" s="447"/>
      <c r="O9" s="445"/>
    </row>
    <row r="10" spans="2:16" x14ac:dyDescent="0.25">
      <c r="B10" s="448" t="s">
        <v>133</v>
      </c>
      <c r="E10" s="449">
        <v>0.42</v>
      </c>
      <c r="F10" s="450">
        <v>6444</v>
      </c>
      <c r="G10" s="450">
        <v>6444</v>
      </c>
      <c r="I10" s="441" t="s">
        <v>508</v>
      </c>
      <c r="L10" s="451"/>
      <c r="M10" s="445">
        <f>16457+16457+16457+16457+16457+16457+16457+16457+16457+16456+16456+16456</f>
        <v>197481</v>
      </c>
      <c r="N10" s="445">
        <f>27431+27431+27431+27431+27431+27431+27431+27431+27431+27423+27423+27423</f>
        <v>329148</v>
      </c>
      <c r="O10" s="445">
        <f>SUM(M10:N10)</f>
        <v>526629</v>
      </c>
    </row>
    <row r="11" spans="2:16" x14ac:dyDescent="0.25">
      <c r="B11" s="448" t="s">
        <v>134</v>
      </c>
      <c r="E11" s="449">
        <v>0.42</v>
      </c>
      <c r="F11" s="450">
        <v>6444</v>
      </c>
      <c r="G11" s="450">
        <v>6444</v>
      </c>
      <c r="I11" s="448"/>
      <c r="L11" s="449"/>
      <c r="M11" s="450"/>
      <c r="N11" s="450"/>
      <c r="O11" s="445"/>
    </row>
    <row r="12" spans="2:16" x14ac:dyDescent="0.25">
      <c r="B12" s="448" t="s">
        <v>135</v>
      </c>
      <c r="E12" s="449">
        <v>0.42</v>
      </c>
      <c r="F12" s="450">
        <v>6444</v>
      </c>
      <c r="G12" s="450">
        <v>6444</v>
      </c>
      <c r="I12" s="441" t="s">
        <v>509</v>
      </c>
      <c r="L12" s="451"/>
      <c r="M12" s="444">
        <f>-'[6]CAPITAL 2024 BUDGET'!G30</f>
        <v>-218883.78000000003</v>
      </c>
      <c r="N12" s="444">
        <f>-'[6]MAJOR 2024 BUDGET'!G25</f>
        <v>-492253.83</v>
      </c>
      <c r="O12" s="445">
        <f>SUM(M12:N12)</f>
        <v>-711137.6100000001</v>
      </c>
    </row>
    <row r="13" spans="2:16" ht="13.8" thickBot="1" x14ac:dyDescent="0.3">
      <c r="B13" s="448" t="s">
        <v>136</v>
      </c>
      <c r="E13" s="449">
        <v>0.42</v>
      </c>
      <c r="F13" s="450">
        <v>6444</v>
      </c>
      <c r="G13" s="450">
        <v>6444</v>
      </c>
      <c r="I13" s="448"/>
      <c r="L13" s="449"/>
      <c r="M13" s="450"/>
      <c r="N13" s="447"/>
      <c r="O13" s="447"/>
    </row>
    <row r="14" spans="2:16" ht="14.4" thickTop="1" thickBot="1" x14ac:dyDescent="0.3">
      <c r="B14" s="448" t="s">
        <v>137</v>
      </c>
      <c r="E14" s="449">
        <v>0.42</v>
      </c>
      <c r="F14" s="450">
        <v>6444</v>
      </c>
      <c r="G14" s="450">
        <v>6444</v>
      </c>
      <c r="I14" s="452" t="s">
        <v>510</v>
      </c>
      <c r="J14" s="452"/>
      <c r="K14" s="452"/>
      <c r="L14" s="452"/>
      <c r="M14" s="453">
        <f>SUM(M8:M12)</f>
        <v>17996.839999999938</v>
      </c>
      <c r="N14" s="453">
        <f>SUM(N8:N12)</f>
        <v>838411.62599999993</v>
      </c>
      <c r="O14" s="453">
        <f>SUM(M14:N14)</f>
        <v>856408.4659999999</v>
      </c>
      <c r="P14" s="454"/>
    </row>
    <row r="15" spans="2:16" ht="13.8" thickTop="1" x14ac:dyDescent="0.25">
      <c r="I15" s="510"/>
      <c r="J15" s="510"/>
      <c r="K15" s="510"/>
      <c r="L15" s="510"/>
      <c r="M15" s="513"/>
      <c r="N15" s="513"/>
      <c r="O15" s="510"/>
      <c r="P15" s="510"/>
    </row>
    <row r="16" spans="2:16" x14ac:dyDescent="0.25">
      <c r="I16" s="510"/>
      <c r="J16" s="510"/>
      <c r="K16" s="510"/>
      <c r="L16" s="510"/>
      <c r="M16" s="510"/>
      <c r="N16" s="510"/>
      <c r="O16" s="510"/>
      <c r="P16" s="510"/>
    </row>
    <row r="17" spans="13:15" x14ac:dyDescent="0.25">
      <c r="M17" s="447"/>
      <c r="O17" s="447"/>
    </row>
    <row r="18" spans="13:15" x14ac:dyDescent="0.25">
      <c r="M18" s="447"/>
      <c r="N18" s="447"/>
      <c r="O18" s="447"/>
    </row>
    <row r="19" spans="13:15" x14ac:dyDescent="0.25">
      <c r="M19" s="447"/>
      <c r="N19" s="447"/>
      <c r="O19" s="447"/>
    </row>
    <row r="20" spans="13:15" x14ac:dyDescent="0.25">
      <c r="M20" s="447"/>
      <c r="N20" s="447"/>
      <c r="O20" s="447"/>
    </row>
    <row r="34" spans="15:16" ht="17.399999999999999" x14ac:dyDescent="0.3">
      <c r="O34" s="455"/>
      <c r="P34" s="456"/>
    </row>
  </sheetData>
  <mergeCells count="1">
    <mergeCell ref="B6:G6"/>
  </mergeCells>
  <pageMargins left="0.17" right="0.22" top="0.75" bottom="0.71" header="0.3" footer="0.3"/>
  <pageSetup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CED6E-64D7-4AC7-8981-D864002C9CBE}">
  <dimension ref="A1:T171"/>
  <sheetViews>
    <sheetView topLeftCell="A9" zoomScaleNormal="100" workbookViewId="0">
      <selection activeCell="H30" sqref="H30"/>
    </sheetView>
  </sheetViews>
  <sheetFormatPr defaultRowHeight="14.4" x14ac:dyDescent="0.3"/>
  <cols>
    <col min="1" max="1" width="3.44140625" customWidth="1"/>
    <col min="2" max="2" width="28.109375" customWidth="1"/>
    <col min="3" max="3" width="3.6640625" customWidth="1"/>
    <col min="4" max="6" width="16.6640625" customWidth="1"/>
    <col min="7" max="7" width="3.6640625" style="234" customWidth="1"/>
    <col min="8" max="8" width="15.5546875" customWidth="1"/>
    <col min="9" max="9" width="11" style="298" customWidth="1"/>
    <col min="10" max="10" width="2.33203125" style="234" customWidth="1"/>
    <col min="11" max="11" width="15.33203125" hidden="1" customWidth="1"/>
    <col min="12" max="12" width="0" style="298" hidden="1" customWidth="1"/>
    <col min="13" max="13" width="9.109375" style="349"/>
    <col min="14" max="20" width="9.109375" style="234"/>
  </cols>
  <sheetData>
    <row r="1" spans="1:12" x14ac:dyDescent="0.3">
      <c r="A1" s="1"/>
      <c r="B1" s="2" t="s">
        <v>511</v>
      </c>
      <c r="C1" s="3"/>
      <c r="D1" s="3"/>
      <c r="E1" s="3"/>
      <c r="F1" s="3"/>
      <c r="H1" s="234"/>
      <c r="I1" s="289"/>
      <c r="K1" s="234"/>
      <c r="L1" s="289"/>
    </row>
    <row r="2" spans="1:12" ht="15" thickBot="1" x14ac:dyDescent="0.35">
      <c r="A2" s="7"/>
      <c r="B2" s="7"/>
      <c r="C2" s="8"/>
      <c r="D2" s="8"/>
      <c r="E2" s="8"/>
      <c r="F2" s="8"/>
      <c r="H2" s="234"/>
      <c r="I2" s="289"/>
      <c r="K2" s="234"/>
      <c r="L2" s="289"/>
    </row>
    <row r="3" spans="1:12" ht="15" thickBot="1" x14ac:dyDescent="0.35">
      <c r="A3" s="7"/>
      <c r="B3" s="207" t="s">
        <v>0</v>
      </c>
      <c r="C3" s="8"/>
      <c r="D3" s="351" t="s">
        <v>512</v>
      </c>
      <c r="E3" s="351" t="s">
        <v>513</v>
      </c>
      <c r="F3" s="351" t="s">
        <v>433</v>
      </c>
      <c r="H3" s="352" t="s">
        <v>660</v>
      </c>
      <c r="I3" s="290" t="s">
        <v>142</v>
      </c>
      <c r="K3" s="235" t="s">
        <v>146</v>
      </c>
      <c r="L3" s="290" t="s">
        <v>142</v>
      </c>
    </row>
    <row r="4" spans="1:12" ht="15" thickBot="1" x14ac:dyDescent="0.35">
      <c r="A4" s="1"/>
      <c r="B4" s="1"/>
      <c r="C4" s="3"/>
      <c r="D4" s="5"/>
      <c r="E4" s="5"/>
      <c r="F4" s="5"/>
      <c r="H4" s="6"/>
      <c r="I4" s="291"/>
      <c r="K4" s="6"/>
      <c r="L4" s="291"/>
    </row>
    <row r="5" spans="1:12" x14ac:dyDescent="0.3">
      <c r="A5" s="1"/>
      <c r="B5" s="202" t="s">
        <v>15</v>
      </c>
      <c r="C5" s="3"/>
      <c r="D5" s="249">
        <v>821562.99000000011</v>
      </c>
      <c r="E5" s="249">
        <v>945780.18</v>
      </c>
      <c r="F5" s="249">
        <v>886156.05999999994</v>
      </c>
      <c r="H5" s="248">
        <f>D5-E5</f>
        <v>-124217.18999999994</v>
      </c>
      <c r="I5" s="285">
        <f>+H5/E5</f>
        <v>-0.1313383306467682</v>
      </c>
      <c r="K5" s="248" t="e">
        <f>#REF!-#REF!</f>
        <v>#REF!</v>
      </c>
      <c r="L5" s="285" t="e">
        <f>+K5/#REF!</f>
        <v>#REF!</v>
      </c>
    </row>
    <row r="6" spans="1:12" x14ac:dyDescent="0.3">
      <c r="A6" s="2"/>
      <c r="B6" s="203" t="s">
        <v>16</v>
      </c>
      <c r="C6" s="4"/>
      <c r="D6" s="250">
        <f>SUM(D5)</f>
        <v>821562.99000000011</v>
      </c>
      <c r="E6" s="250">
        <f>SUM(E5)</f>
        <v>945780.18</v>
      </c>
      <c r="F6" s="250">
        <f>SUM(F5)</f>
        <v>886156.05999999994</v>
      </c>
      <c r="H6" s="237">
        <f>D6-E6</f>
        <v>-124217.18999999994</v>
      </c>
      <c r="I6" s="286">
        <f>+H6/E6</f>
        <v>-0.1313383306467682</v>
      </c>
      <c r="K6" s="237" t="e">
        <f>#REF!-#REF!</f>
        <v>#REF!</v>
      </c>
      <c r="L6" s="286" t="e">
        <f>+K6/#REF!</f>
        <v>#REF!</v>
      </c>
    </row>
    <row r="7" spans="1:12" x14ac:dyDescent="0.3">
      <c r="A7" s="1"/>
      <c r="B7" s="204"/>
      <c r="C7" s="3"/>
      <c r="D7" s="251"/>
      <c r="E7" s="251"/>
      <c r="F7" s="251"/>
      <c r="H7" s="238"/>
      <c r="I7" s="287"/>
      <c r="K7" s="309" t="e">
        <f>+K6/#REF!</f>
        <v>#REF!</v>
      </c>
      <c r="L7" s="287"/>
    </row>
    <row r="8" spans="1:12" x14ac:dyDescent="0.3">
      <c r="A8" s="1"/>
      <c r="B8" s="204" t="s">
        <v>17</v>
      </c>
      <c r="C8" s="3"/>
      <c r="D8" s="251">
        <v>351084.18000000005</v>
      </c>
      <c r="E8" s="251">
        <v>368606.49318720005</v>
      </c>
      <c r="F8" s="251">
        <v>302023.66000000003</v>
      </c>
      <c r="H8" s="237">
        <f t="shared" ref="H8:H13" si="0">D8-E8</f>
        <v>-17522.313187199994</v>
      </c>
      <c r="I8" s="286">
        <f t="shared" ref="I8:I13" si="1">+H8/E8</f>
        <v>-4.7536637338347516E-2</v>
      </c>
      <c r="K8" s="237" t="e">
        <f>#REF!-#REF!</f>
        <v>#REF!</v>
      </c>
      <c r="L8" s="286" t="e">
        <f>+K8/#REF!</f>
        <v>#REF!</v>
      </c>
    </row>
    <row r="9" spans="1:12" x14ac:dyDescent="0.3">
      <c r="A9" s="1"/>
      <c r="B9" s="204" t="s">
        <v>18</v>
      </c>
      <c r="C9" s="3"/>
      <c r="D9" s="251">
        <v>254159.93</v>
      </c>
      <c r="E9" s="251">
        <v>312270.1110382746</v>
      </c>
      <c r="F9" s="251">
        <v>298954.56</v>
      </c>
      <c r="H9" s="237">
        <f t="shared" si="0"/>
        <v>-58110.181038274604</v>
      </c>
      <c r="I9" s="286">
        <f t="shared" si="1"/>
        <v>-0.1860894750543452</v>
      </c>
      <c r="K9" s="237" t="e">
        <f>#REF!-#REF!</f>
        <v>#REF!</v>
      </c>
      <c r="L9" s="286" t="e">
        <f>+K9/#REF!</f>
        <v>#REF!</v>
      </c>
    </row>
    <row r="10" spans="1:12" x14ac:dyDescent="0.3">
      <c r="A10" s="1"/>
      <c r="B10" s="204" t="s">
        <v>19</v>
      </c>
      <c r="C10" s="3"/>
      <c r="D10" s="251">
        <v>129009.67499999999</v>
      </c>
      <c r="E10" s="251">
        <v>131695.28817014035</v>
      </c>
      <c r="F10" s="251">
        <v>118331.75</v>
      </c>
      <c r="H10" s="237">
        <f t="shared" si="0"/>
        <v>-2685.6131701403647</v>
      </c>
      <c r="I10" s="286">
        <f t="shared" si="1"/>
        <v>-2.0392629132416306E-2</v>
      </c>
      <c r="K10" s="237" t="e">
        <f>#REF!-#REF!</f>
        <v>#REF!</v>
      </c>
      <c r="L10" s="286" t="e">
        <f>+K10/#REF!</f>
        <v>#REF!</v>
      </c>
    </row>
    <row r="11" spans="1:12" x14ac:dyDescent="0.3">
      <c r="A11" s="1"/>
      <c r="B11" s="204" t="s">
        <v>20</v>
      </c>
      <c r="C11" s="3"/>
      <c r="D11" s="251">
        <v>24135.379999999997</v>
      </c>
      <c r="E11" s="251">
        <v>23586.129600000004</v>
      </c>
      <c r="F11" s="251">
        <v>23647.439999999999</v>
      </c>
      <c r="H11" s="237">
        <f t="shared" si="0"/>
        <v>549.25039999999353</v>
      </c>
      <c r="I11" s="286">
        <f t="shared" si="1"/>
        <v>2.3287008479763185E-2</v>
      </c>
      <c r="K11" s="237" t="e">
        <f>#REF!-#REF!</f>
        <v>#REF!</v>
      </c>
      <c r="L11" s="286" t="e">
        <f>+K11/#REF!</f>
        <v>#REF!</v>
      </c>
    </row>
    <row r="12" spans="1:12" ht="15" thickBot="1" x14ac:dyDescent="0.35">
      <c r="A12" s="1"/>
      <c r="B12" s="205" t="s">
        <v>21</v>
      </c>
      <c r="C12" s="3"/>
      <c r="D12" s="252">
        <v>119283.06</v>
      </c>
      <c r="E12" s="252">
        <v>123630</v>
      </c>
      <c r="F12" s="252">
        <v>115878.48999999999</v>
      </c>
      <c r="H12" s="246">
        <f t="shared" si="0"/>
        <v>-4346.9400000000023</v>
      </c>
      <c r="I12" s="288">
        <f t="shared" si="1"/>
        <v>-3.5160883280757116E-2</v>
      </c>
      <c r="K12" s="246" t="e">
        <f>#REF!-#REF!</f>
        <v>#REF!</v>
      </c>
      <c r="L12" s="288" t="e">
        <f>+K12/#REF!</f>
        <v>#REF!</v>
      </c>
    </row>
    <row r="13" spans="1:12" x14ac:dyDescent="0.3">
      <c r="A13" s="2"/>
      <c r="B13" s="203" t="s">
        <v>22</v>
      </c>
      <c r="C13" s="4"/>
      <c r="D13" s="253">
        <f>SUM(D8:D12)</f>
        <v>877672.22500000009</v>
      </c>
      <c r="E13" s="253">
        <f>SUM(E8:E12)</f>
        <v>959788.02199561498</v>
      </c>
      <c r="F13" s="253">
        <f>SUM(F8:F12)</f>
        <v>858835.89999999991</v>
      </c>
      <c r="H13" s="239">
        <f t="shared" si="0"/>
        <v>-82115.796995614888</v>
      </c>
      <c r="I13" s="287">
        <f t="shared" si="1"/>
        <v>-8.5556180233295365E-2</v>
      </c>
      <c r="K13" s="239" t="e">
        <f>#REF!-#REF!</f>
        <v>#REF!</v>
      </c>
      <c r="L13" s="287" t="e">
        <f>+K13/#REF!</f>
        <v>#REF!</v>
      </c>
    </row>
    <row r="14" spans="1:12" x14ac:dyDescent="0.3">
      <c r="A14" s="1"/>
      <c r="B14" s="204"/>
      <c r="C14" s="3"/>
      <c r="D14" s="251"/>
      <c r="E14" s="251"/>
      <c r="F14" s="251"/>
      <c r="H14" s="240"/>
      <c r="I14" s="286"/>
      <c r="K14" s="310" t="e">
        <f>+K13/#REF!</f>
        <v>#REF!</v>
      </c>
      <c r="L14" s="286"/>
    </row>
    <row r="15" spans="1:12" x14ac:dyDescent="0.3">
      <c r="A15" s="1"/>
      <c r="B15" s="204" t="s">
        <v>23</v>
      </c>
      <c r="C15" s="3"/>
      <c r="D15" s="251">
        <v>-1202228</v>
      </c>
      <c r="E15" s="251">
        <v>-1202228</v>
      </c>
      <c r="F15" s="251">
        <v>-1202228</v>
      </c>
      <c r="H15" s="237">
        <f>D15-E15</f>
        <v>0</v>
      </c>
      <c r="I15" s="286">
        <f>+H15/E15</f>
        <v>0</v>
      </c>
      <c r="K15" s="237" t="e">
        <f>#REF!-#REF!</f>
        <v>#REF!</v>
      </c>
      <c r="L15" s="286" t="e">
        <f>+K15/#REF!</f>
        <v>#REF!</v>
      </c>
    </row>
    <row r="16" spans="1:12" x14ac:dyDescent="0.3">
      <c r="A16" s="1"/>
      <c r="B16" s="204" t="s">
        <v>24</v>
      </c>
      <c r="C16" s="3"/>
      <c r="D16" s="251">
        <v>1202228</v>
      </c>
      <c r="E16" s="251">
        <v>1202228</v>
      </c>
      <c r="F16" s="251">
        <v>1202228</v>
      </c>
      <c r="H16" s="237">
        <f>D16-E16</f>
        <v>0</v>
      </c>
      <c r="I16" s="286">
        <f>+H16/E16</f>
        <v>0</v>
      </c>
      <c r="K16" s="237" t="e">
        <f>#REF!-#REF!</f>
        <v>#REF!</v>
      </c>
      <c r="L16" s="286" t="e">
        <f>+K16/#REF!</f>
        <v>#REF!</v>
      </c>
    </row>
    <row r="17" spans="1:12" ht="15" thickBot="1" x14ac:dyDescent="0.35">
      <c r="A17" s="1"/>
      <c r="B17" s="205" t="s">
        <v>25</v>
      </c>
      <c r="C17" s="3"/>
      <c r="D17" s="251"/>
      <c r="E17" s="251"/>
      <c r="F17" s="251"/>
      <c r="H17" s="246"/>
      <c r="I17" s="288"/>
      <c r="K17" s="246" t="e">
        <f>#REF!-#REF!</f>
        <v>#REF!</v>
      </c>
      <c r="L17" s="288"/>
    </row>
    <row r="18" spans="1:12" x14ac:dyDescent="0.3">
      <c r="A18" s="2"/>
      <c r="B18" s="203" t="s">
        <v>26</v>
      </c>
      <c r="C18" s="4"/>
      <c r="D18" s="253">
        <f>SUM(D15:D17)</f>
        <v>0</v>
      </c>
      <c r="E18" s="253">
        <f>SUM(E15:E17)</f>
        <v>0</v>
      </c>
      <c r="F18" s="253">
        <f>SUM(F15:F17)</f>
        <v>0</v>
      </c>
      <c r="H18" s="237"/>
      <c r="I18" s="286"/>
      <c r="K18" s="237" t="e">
        <f>#REF!-#REF!</f>
        <v>#REF!</v>
      </c>
      <c r="L18" s="286"/>
    </row>
    <row r="19" spans="1:12" x14ac:dyDescent="0.3">
      <c r="A19" s="1"/>
      <c r="B19" s="204"/>
      <c r="C19" s="3"/>
      <c r="D19" s="251"/>
      <c r="E19" s="251"/>
      <c r="F19" s="251"/>
      <c r="H19" s="237"/>
      <c r="I19" s="286"/>
      <c r="K19" s="237" t="e">
        <f>#REF!-#REF!</f>
        <v>#REF!</v>
      </c>
      <c r="L19" s="286"/>
    </row>
    <row r="20" spans="1:12" x14ac:dyDescent="0.3">
      <c r="A20" s="1"/>
      <c r="B20" s="204" t="s">
        <v>27</v>
      </c>
      <c r="C20" s="3"/>
      <c r="D20" s="255">
        <v>-49371</v>
      </c>
      <c r="E20" s="255">
        <v>-49371</v>
      </c>
      <c r="F20" s="255">
        <v>-49371</v>
      </c>
      <c r="H20" s="237">
        <f>D20-E20</f>
        <v>0</v>
      </c>
      <c r="I20" s="286">
        <f>+H20/E20</f>
        <v>0</v>
      </c>
      <c r="K20" s="237" t="e">
        <f>#REF!-#REF!</f>
        <v>#REF!</v>
      </c>
      <c r="L20" s="286" t="e">
        <f>+K20/#REF!</f>
        <v>#REF!</v>
      </c>
    </row>
    <row r="21" spans="1:12" x14ac:dyDescent="0.3">
      <c r="A21" s="1"/>
      <c r="B21" s="204" t="s">
        <v>28</v>
      </c>
      <c r="C21" s="3"/>
      <c r="D21" s="255">
        <v>-82293</v>
      </c>
      <c r="E21" s="255">
        <v>-82293</v>
      </c>
      <c r="F21" s="255">
        <v>-82293</v>
      </c>
      <c r="H21" s="237">
        <f>D21-E21</f>
        <v>0</v>
      </c>
      <c r="I21" s="286">
        <f>+H21/E21</f>
        <v>0</v>
      </c>
      <c r="K21" s="237" t="e">
        <f>#REF!-#REF!</f>
        <v>#REF!</v>
      </c>
      <c r="L21" s="286" t="e">
        <f>+K21/#REF!</f>
        <v>#REF!</v>
      </c>
    </row>
    <row r="22" spans="1:12" ht="15" thickBot="1" x14ac:dyDescent="0.35">
      <c r="A22" s="1"/>
      <c r="B22" s="205" t="s">
        <v>29</v>
      </c>
      <c r="C22" s="3"/>
      <c r="D22" s="256">
        <v>131664</v>
      </c>
      <c r="E22" s="256">
        <v>131664</v>
      </c>
      <c r="F22" s="256">
        <v>131664</v>
      </c>
      <c r="H22" s="246">
        <f>D22-E22</f>
        <v>0</v>
      </c>
      <c r="I22" s="288">
        <f>+H22/E22</f>
        <v>0</v>
      </c>
      <c r="K22" s="246" t="e">
        <f>#REF!-#REF!</f>
        <v>#REF!</v>
      </c>
      <c r="L22" s="288" t="e">
        <f>+K22/#REF!</f>
        <v>#REF!</v>
      </c>
    </row>
    <row r="23" spans="1:12" x14ac:dyDescent="0.3">
      <c r="A23" s="2"/>
      <c r="B23" s="203" t="s">
        <v>30</v>
      </c>
      <c r="C23" s="4"/>
      <c r="D23" s="253">
        <f>SUM(D20:D22)</f>
        <v>0</v>
      </c>
      <c r="E23" s="253">
        <f>SUM(E20:E22)</f>
        <v>0</v>
      </c>
      <c r="F23" s="253">
        <f>SUM(F20:F22)</f>
        <v>0</v>
      </c>
      <c r="H23" s="237"/>
      <c r="I23" s="286"/>
      <c r="K23" s="237" t="e">
        <f>#REF!-#REF!</f>
        <v>#REF!</v>
      </c>
      <c r="L23" s="286"/>
    </row>
    <row r="24" spans="1:12" x14ac:dyDescent="0.3">
      <c r="A24" s="1"/>
      <c r="B24" s="204"/>
      <c r="C24" s="3"/>
      <c r="D24" s="353"/>
      <c r="E24" s="353"/>
      <c r="F24" s="353"/>
      <c r="H24" s="237"/>
      <c r="I24" s="286"/>
      <c r="K24" s="237" t="e">
        <f>#REF!-#REF!</f>
        <v>#REF!</v>
      </c>
      <c r="L24" s="286"/>
    </row>
    <row r="25" spans="1:12" ht="15" thickBot="1" x14ac:dyDescent="0.35">
      <c r="A25" s="1"/>
      <c r="B25" s="206" t="s">
        <v>31</v>
      </c>
      <c r="C25" s="4"/>
      <c r="D25" s="283">
        <f>D6-D13-D18-D23</f>
        <v>-56109.234999999986</v>
      </c>
      <c r="E25" s="283">
        <f>E6-E13-E18-E23</f>
        <v>-14007.84199561493</v>
      </c>
      <c r="F25" s="283">
        <f>F6-F13-F18-F23</f>
        <v>27320.160000000033</v>
      </c>
      <c r="H25" s="241">
        <f>D25-E25</f>
        <v>-42101.393004385056</v>
      </c>
      <c r="I25" s="292">
        <f>+H25/E25</f>
        <v>3.0055588160949163</v>
      </c>
      <c r="K25" s="241" t="e">
        <f>#REF!-#REF!</f>
        <v>#REF!</v>
      </c>
      <c r="L25" s="292"/>
    </row>
    <row r="26" spans="1:12" x14ac:dyDescent="0.3">
      <c r="A26" s="1"/>
      <c r="B26" s="2"/>
      <c r="C26" s="4"/>
      <c r="D26" s="47"/>
      <c r="E26" s="47"/>
      <c r="F26" s="47"/>
      <c r="H26" s="231"/>
      <c r="I26" s="231"/>
      <c r="K26" s="231"/>
      <c r="L26" s="231"/>
    </row>
    <row r="27" spans="1:12" ht="15" thickBot="1" x14ac:dyDescent="0.35">
      <c r="A27" s="1"/>
      <c r="B27" s="48"/>
      <c r="C27" s="49"/>
      <c r="D27" s="3"/>
      <c r="E27" s="3"/>
      <c r="F27" s="3"/>
      <c r="H27" s="3"/>
      <c r="I27" s="293"/>
      <c r="K27" s="3"/>
      <c r="L27" s="293"/>
    </row>
    <row r="28" spans="1:12" ht="15" thickBot="1" x14ac:dyDescent="0.35">
      <c r="A28" s="1"/>
      <c r="B28" s="208" t="s">
        <v>35</v>
      </c>
      <c r="C28" s="4"/>
      <c r="D28" s="62"/>
      <c r="E28" s="62"/>
      <c r="F28" s="62"/>
      <c r="H28" s="62"/>
      <c r="I28" s="294"/>
      <c r="K28" s="62"/>
      <c r="L28" s="294"/>
    </row>
    <row r="29" spans="1:12" ht="15" thickBot="1" x14ac:dyDescent="0.35">
      <c r="A29" s="1"/>
      <c r="B29" s="48"/>
      <c r="C29" s="49"/>
      <c r="D29" s="59"/>
      <c r="E29" s="59"/>
      <c r="F29" s="59"/>
      <c r="H29" s="59"/>
      <c r="I29" s="295"/>
      <c r="K29" s="59"/>
      <c r="L29" s="295"/>
    </row>
    <row r="30" spans="1:12" ht="15" thickBot="1" x14ac:dyDescent="0.35">
      <c r="A30" s="1"/>
      <c r="B30" s="209" t="s">
        <v>37</v>
      </c>
      <c r="C30" s="4"/>
      <c r="D30" s="351" t="str">
        <f>D3</f>
        <v>ACTUAL 2025 - Q1</v>
      </c>
      <c r="E30" s="351" t="str">
        <f>E3</f>
        <v>BUDGET 2025 - Q1</v>
      </c>
      <c r="F30" s="351" t="str">
        <f>F3</f>
        <v>ACTUAL 2024 - Q1</v>
      </c>
      <c r="H30" s="235" t="str">
        <f>+H$3</f>
        <v xml:space="preserve"> Q1 2025 vs B 2025</v>
      </c>
      <c r="I30" s="311" t="str">
        <f>+I$3</f>
        <v>%</v>
      </c>
      <c r="K30" s="235" t="str">
        <f>+K$3</f>
        <v>Act 2021 vs Bud 2021</v>
      </c>
      <c r="L30" s="311" t="str">
        <f>+L$3</f>
        <v>%</v>
      </c>
    </row>
    <row r="31" spans="1:12" x14ac:dyDescent="0.3">
      <c r="A31" s="1"/>
      <c r="B31" s="204" t="s">
        <v>38</v>
      </c>
      <c r="C31" s="3"/>
      <c r="D31" s="251">
        <v>685188</v>
      </c>
      <c r="E31" s="251">
        <v>749987.52</v>
      </c>
      <c r="F31" s="251">
        <v>685134</v>
      </c>
      <c r="H31" s="299">
        <f>D31-E31</f>
        <v>-64799.520000000019</v>
      </c>
      <c r="I31" s="302">
        <f>+H31/E31</f>
        <v>-8.6400797709273905E-2</v>
      </c>
      <c r="K31" s="299" t="e">
        <f>#REF!-#REF!</f>
        <v>#REF!</v>
      </c>
      <c r="L31" s="302" t="e">
        <f>+K31/#REF!</f>
        <v>#REF!</v>
      </c>
    </row>
    <row r="32" spans="1:12" x14ac:dyDescent="0.3">
      <c r="A32" s="1"/>
      <c r="B32" s="204" t="s">
        <v>39</v>
      </c>
      <c r="C32" s="3"/>
      <c r="D32" s="251">
        <v>19284</v>
      </c>
      <c r="E32" s="251">
        <v>20055.36</v>
      </c>
      <c r="F32" s="251">
        <v>19284</v>
      </c>
      <c r="H32" s="299">
        <f>D32-E32</f>
        <v>-771.36000000000058</v>
      </c>
      <c r="I32" s="302">
        <f>+H32/E32</f>
        <v>-3.8461538461538491E-2</v>
      </c>
      <c r="K32" s="299" t="e">
        <f>#REF!-#REF!</f>
        <v>#REF!</v>
      </c>
      <c r="L32" s="302" t="e">
        <f>+K32/#REF!</f>
        <v>#REF!</v>
      </c>
    </row>
    <row r="33" spans="1:12" x14ac:dyDescent="0.3">
      <c r="A33" s="1"/>
      <c r="B33" s="204" t="s">
        <v>40</v>
      </c>
      <c r="C33" s="3"/>
      <c r="D33" s="251">
        <v>0</v>
      </c>
      <c r="E33" s="251">
        <v>0</v>
      </c>
      <c r="F33" s="251">
        <v>0</v>
      </c>
      <c r="H33" s="299"/>
      <c r="I33" s="302"/>
      <c r="K33" s="299" t="e">
        <f>#REF!-#REF!</f>
        <v>#REF!</v>
      </c>
      <c r="L33" s="302"/>
    </row>
    <row r="34" spans="1:12" x14ac:dyDescent="0.3">
      <c r="A34" s="1"/>
      <c r="B34" s="204" t="s">
        <v>41</v>
      </c>
      <c r="C34" s="3"/>
      <c r="D34" s="251">
        <v>97226</v>
      </c>
      <c r="E34" s="251">
        <v>145102.39999999999</v>
      </c>
      <c r="F34" s="251">
        <v>156242.84</v>
      </c>
      <c r="H34" s="299">
        <f t="shared" ref="H34:H41" si="2">D34-E34</f>
        <v>-47876.399999999994</v>
      </c>
      <c r="I34" s="302">
        <f>+H34/E34</f>
        <v>-0.32994905666618879</v>
      </c>
      <c r="K34" s="299" t="e">
        <f>#REF!-#REF!</f>
        <v>#REF!</v>
      </c>
      <c r="L34" s="302" t="e">
        <f>+K34/#REF!</f>
        <v>#REF!</v>
      </c>
    </row>
    <row r="35" spans="1:12" x14ac:dyDescent="0.3">
      <c r="A35" s="1"/>
      <c r="B35" s="204" t="s">
        <v>42</v>
      </c>
      <c r="C35" s="3"/>
      <c r="D35" s="251">
        <v>4497.5199999999995</v>
      </c>
      <c r="E35" s="251">
        <v>5470</v>
      </c>
      <c r="F35" s="251">
        <v>5328.49</v>
      </c>
      <c r="H35" s="299">
        <f t="shared" si="2"/>
        <v>-972.48000000000047</v>
      </c>
      <c r="I35" s="302">
        <f>+H35/E35</f>
        <v>-0.17778427787934195</v>
      </c>
      <c r="K35" s="299" t="e">
        <f>#REF!-#REF!</f>
        <v>#REF!</v>
      </c>
      <c r="L35" s="302" t="e">
        <f>+K35/#REF!</f>
        <v>#REF!</v>
      </c>
    </row>
    <row r="36" spans="1:12" x14ac:dyDescent="0.3">
      <c r="A36" s="1"/>
      <c r="B36" s="204" t="s">
        <v>43</v>
      </c>
      <c r="C36" s="3"/>
      <c r="D36" s="251">
        <v>11835.05</v>
      </c>
      <c r="E36" s="251">
        <v>16839.900000000001</v>
      </c>
      <c r="F36" s="251">
        <v>15063.989999999998</v>
      </c>
      <c r="H36" s="299">
        <f t="shared" si="2"/>
        <v>-5004.8500000000022</v>
      </c>
      <c r="I36" s="302">
        <f>+H36/E36</f>
        <v>-0.2972018836216368</v>
      </c>
      <c r="K36" s="299" t="e">
        <f>#REF!-#REF!</f>
        <v>#REF!</v>
      </c>
      <c r="L36" s="302" t="e">
        <f>+K36/#REF!</f>
        <v>#REF!</v>
      </c>
    </row>
    <row r="37" spans="1:12" x14ac:dyDescent="0.3">
      <c r="A37" s="1"/>
      <c r="B37" s="204" t="s">
        <v>44</v>
      </c>
      <c r="C37" s="3"/>
      <c r="D37" s="251">
        <v>5830.12</v>
      </c>
      <c r="E37" s="251">
        <v>4500</v>
      </c>
      <c r="F37" s="251">
        <v>3966.5</v>
      </c>
      <c r="H37" s="299">
        <f t="shared" si="2"/>
        <v>1330.12</v>
      </c>
      <c r="I37" s="302">
        <f>+H37/E37</f>
        <v>0.29558222222222219</v>
      </c>
      <c r="K37" s="299" t="e">
        <f>#REF!-#REF!</f>
        <v>#REF!</v>
      </c>
      <c r="L37" s="302" t="e">
        <f>+K37/#REF!</f>
        <v>#REF!</v>
      </c>
    </row>
    <row r="38" spans="1:12" x14ac:dyDescent="0.3">
      <c r="A38" s="1"/>
      <c r="B38" s="204" t="s">
        <v>45</v>
      </c>
      <c r="C38" s="3"/>
      <c r="D38" s="251">
        <v>-5265</v>
      </c>
      <c r="E38" s="251">
        <v>105</v>
      </c>
      <c r="F38" s="251">
        <v>-1061.92</v>
      </c>
      <c r="H38" s="299">
        <f t="shared" si="2"/>
        <v>-5370</v>
      </c>
      <c r="I38" s="302">
        <f>+H38/E38</f>
        <v>-51.142857142857146</v>
      </c>
      <c r="K38" s="299" t="e">
        <f>#REF!-#REF!</f>
        <v>#REF!</v>
      </c>
      <c r="L38" s="302" t="e">
        <f>+K38/#REF!</f>
        <v>#REF!</v>
      </c>
    </row>
    <row r="39" spans="1:12" x14ac:dyDescent="0.3">
      <c r="A39" s="1"/>
      <c r="B39" s="204" t="s">
        <v>46</v>
      </c>
      <c r="C39" s="3"/>
      <c r="D39" s="251">
        <v>2100</v>
      </c>
      <c r="E39" s="251">
        <v>2100</v>
      </c>
      <c r="F39" s="251">
        <v>2198.16</v>
      </c>
      <c r="H39" s="299">
        <f t="shared" si="2"/>
        <v>0</v>
      </c>
      <c r="I39" s="302"/>
      <c r="K39" s="299" t="e">
        <f>#REF!-#REF!</f>
        <v>#REF!</v>
      </c>
      <c r="L39" s="302"/>
    </row>
    <row r="40" spans="1:12" ht="15" thickBot="1" x14ac:dyDescent="0.35">
      <c r="A40" s="1"/>
      <c r="B40" s="205" t="s">
        <v>47</v>
      </c>
      <c r="C40" s="3"/>
      <c r="D40" s="252">
        <v>867.3</v>
      </c>
      <c r="E40" s="252">
        <v>1620</v>
      </c>
      <c r="F40" s="252"/>
      <c r="H40" s="299">
        <f t="shared" si="2"/>
        <v>-752.7</v>
      </c>
      <c r="I40" s="303"/>
      <c r="K40" s="300" t="e">
        <f>#REF!-#REF!</f>
        <v>#REF!</v>
      </c>
      <c r="L40" s="303" t="e">
        <f>+K40/#REF!</f>
        <v>#REF!</v>
      </c>
    </row>
    <row r="41" spans="1:12" ht="15" thickBot="1" x14ac:dyDescent="0.35">
      <c r="A41" s="1"/>
      <c r="B41" s="210" t="s">
        <v>16</v>
      </c>
      <c r="C41" s="29"/>
      <c r="D41" s="270">
        <f>SUM(D31:D40)</f>
        <v>821562.99000000011</v>
      </c>
      <c r="E41" s="259">
        <f>SUM(E31:E40)</f>
        <v>945780.18</v>
      </c>
      <c r="F41" s="270">
        <f>SUM(F31:F40)</f>
        <v>886156.05999999994</v>
      </c>
      <c r="H41" s="301">
        <f t="shared" si="2"/>
        <v>-124217.18999999994</v>
      </c>
      <c r="I41" s="304">
        <f>+H41/E41</f>
        <v>-0.1313383306467682</v>
      </c>
      <c r="K41" s="301" t="e">
        <f>#REF!-#REF!</f>
        <v>#REF!</v>
      </c>
      <c r="L41" s="304" t="e">
        <f>+K41/#REF!</f>
        <v>#REF!</v>
      </c>
    </row>
    <row r="42" spans="1:12" ht="15" thickBot="1" x14ac:dyDescent="0.35">
      <c r="A42" s="1"/>
      <c r="B42" s="48"/>
      <c r="C42" s="49"/>
      <c r="D42" s="232"/>
      <c r="E42" s="76"/>
      <c r="F42" s="232"/>
      <c r="H42" s="76"/>
      <c r="I42" s="232"/>
      <c r="K42" s="76"/>
      <c r="L42" s="232"/>
    </row>
    <row r="43" spans="1:12" ht="15" thickBot="1" x14ac:dyDescent="0.35">
      <c r="A43" s="1"/>
      <c r="B43" s="208" t="s">
        <v>48</v>
      </c>
      <c r="C43" s="4"/>
      <c r="D43" s="9"/>
      <c r="E43" s="9"/>
      <c r="F43" s="9"/>
      <c r="H43" s="9"/>
      <c r="I43" s="296"/>
      <c r="K43" s="9"/>
      <c r="L43" s="296"/>
    </row>
    <row r="44" spans="1:12" x14ac:dyDescent="0.3">
      <c r="A44" s="1"/>
      <c r="B44" s="211" t="s">
        <v>49</v>
      </c>
      <c r="C44" s="3"/>
      <c r="D44" s="257">
        <v>49596.27</v>
      </c>
      <c r="E44" s="257">
        <v>56008.502266666663</v>
      </c>
      <c r="F44" s="257">
        <v>60086.950000000004</v>
      </c>
      <c r="H44" s="236">
        <f>D44-E44</f>
        <v>-6412.232266666666</v>
      </c>
      <c r="I44" s="305">
        <f>+H44/E44</f>
        <v>-0.11448676552957732</v>
      </c>
      <c r="K44" s="236" t="e">
        <f>#REF!-#REF!</f>
        <v>#REF!</v>
      </c>
      <c r="L44" s="305" t="e">
        <f>+K44/#REF!</f>
        <v>#REF!</v>
      </c>
    </row>
    <row r="45" spans="1:12" x14ac:dyDescent="0.3">
      <c r="A45" s="1"/>
      <c r="B45" s="204" t="s">
        <v>50</v>
      </c>
      <c r="C45" s="3"/>
      <c r="D45" s="251">
        <v>3671.59</v>
      </c>
      <c r="E45" s="251">
        <v>4296</v>
      </c>
      <c r="F45" s="251">
        <v>4867.83</v>
      </c>
      <c r="H45" s="237">
        <f>D45-E45</f>
        <v>-624.40999999999985</v>
      </c>
      <c r="I45" s="286">
        <f>+H45/E45</f>
        <v>-0.14534683426443198</v>
      </c>
      <c r="K45" s="237" t="e">
        <f>#REF!-#REF!</f>
        <v>#REF!</v>
      </c>
      <c r="L45" s="286" t="e">
        <f>+K45/#REF!</f>
        <v>#REF!</v>
      </c>
    </row>
    <row r="46" spans="1:12" x14ac:dyDescent="0.3">
      <c r="A46" s="1"/>
      <c r="B46" s="204" t="s">
        <v>51</v>
      </c>
      <c r="C46" s="3"/>
      <c r="D46" s="251">
        <v>5855.26</v>
      </c>
      <c r="E46" s="251">
        <v>5500.2000000000007</v>
      </c>
      <c r="F46" s="251">
        <v>3968.63</v>
      </c>
      <c r="H46" s="237">
        <f>D46-E46</f>
        <v>355.05999999999949</v>
      </c>
      <c r="I46" s="286">
        <f>+H46/E46</f>
        <v>6.4554016217591992E-2</v>
      </c>
      <c r="K46" s="237" t="e">
        <f>#REF!-#REF!</f>
        <v>#REF!</v>
      </c>
      <c r="L46" s="286" t="e">
        <f>+K46/#REF!</f>
        <v>#REF!</v>
      </c>
    </row>
    <row r="47" spans="1:12" x14ac:dyDescent="0.3">
      <c r="A47" s="1"/>
      <c r="B47" s="204" t="s">
        <v>52</v>
      </c>
      <c r="C47" s="3"/>
      <c r="D47" s="251">
        <v>0</v>
      </c>
      <c r="E47" s="251">
        <v>0</v>
      </c>
      <c r="F47" s="251">
        <v>0</v>
      </c>
      <c r="H47" s="237"/>
      <c r="I47" s="286"/>
      <c r="K47" s="237" t="e">
        <f>#REF!-#REF!</f>
        <v>#REF!</v>
      </c>
      <c r="L47" s="286"/>
    </row>
    <row r="48" spans="1:12" x14ac:dyDescent="0.3">
      <c r="A48" s="1"/>
      <c r="B48" s="204" t="s">
        <v>53</v>
      </c>
      <c r="C48" s="3"/>
      <c r="D48" s="251"/>
      <c r="E48" s="251"/>
      <c r="F48" s="251"/>
      <c r="H48" s="237"/>
      <c r="I48" s="286"/>
      <c r="K48" s="237" t="e">
        <f>#REF!-#REF!</f>
        <v>#REF!</v>
      </c>
      <c r="L48" s="286"/>
    </row>
    <row r="49" spans="1:12" x14ac:dyDescent="0.3">
      <c r="A49" s="1"/>
      <c r="B49" s="204" t="s">
        <v>54</v>
      </c>
      <c r="C49" s="3"/>
      <c r="D49" s="251">
        <v>7481</v>
      </c>
      <c r="E49" s="251">
        <v>6663</v>
      </c>
      <c r="F49" s="251">
        <v>8487.44</v>
      </c>
      <c r="H49" s="237">
        <f>D49-E49</f>
        <v>818</v>
      </c>
      <c r="I49" s="286">
        <f>+H49/E49</f>
        <v>0.12276752213717544</v>
      </c>
      <c r="K49" s="237" t="e">
        <f>#REF!-#REF!</f>
        <v>#REF!</v>
      </c>
      <c r="L49" s="286" t="e">
        <f>+K49/#REF!</f>
        <v>#REF!</v>
      </c>
    </row>
    <row r="50" spans="1:12" x14ac:dyDescent="0.3">
      <c r="A50" s="1"/>
      <c r="B50" s="205"/>
      <c r="C50" s="3"/>
      <c r="D50" s="254"/>
      <c r="E50" s="254"/>
      <c r="F50" s="254"/>
      <c r="H50" s="246"/>
      <c r="I50" s="288"/>
      <c r="K50" s="246" t="e">
        <f>#REF!-#REF!</f>
        <v>#REF!</v>
      </c>
      <c r="L50" s="288"/>
    </row>
    <row r="51" spans="1:12" ht="15" thickBot="1" x14ac:dyDescent="0.35">
      <c r="A51" s="1"/>
      <c r="B51" s="210" t="s">
        <v>55</v>
      </c>
      <c r="C51" s="4"/>
      <c r="D51" s="259">
        <f>SUM(D44:D49)</f>
        <v>66604.12</v>
      </c>
      <c r="E51" s="259">
        <f>SUM(E44:E49)</f>
        <v>72467.70226666666</v>
      </c>
      <c r="F51" s="259">
        <f>SUM(F44:F49)</f>
        <v>77410.850000000006</v>
      </c>
      <c r="H51" s="241">
        <f>D51-E51</f>
        <v>-5863.5822666666645</v>
      </c>
      <c r="I51" s="292">
        <f>+H51/E51</f>
        <v>-8.0913042407358984E-2</v>
      </c>
      <c r="K51" s="241" t="e">
        <f>#REF!-#REF!</f>
        <v>#REF!</v>
      </c>
      <c r="L51" s="292" t="e">
        <f>+K51/#REF!</f>
        <v>#REF!</v>
      </c>
    </row>
    <row r="52" spans="1:12" ht="15" thickBot="1" x14ac:dyDescent="0.35">
      <c r="A52" s="1"/>
      <c r="B52" s="48"/>
      <c r="C52" s="49"/>
      <c r="D52" s="232"/>
      <c r="E52" s="76"/>
      <c r="F52" s="232"/>
      <c r="H52" s="76"/>
      <c r="I52" s="232"/>
      <c r="K52" s="76"/>
      <c r="L52" s="232"/>
    </row>
    <row r="53" spans="1:12" ht="15" thickBot="1" x14ac:dyDescent="0.35">
      <c r="A53" s="1"/>
      <c r="B53" s="208" t="s">
        <v>56</v>
      </c>
      <c r="C53" s="4"/>
      <c r="D53" s="9"/>
      <c r="E53" s="9"/>
      <c r="F53" s="9"/>
      <c r="H53" s="9"/>
      <c r="I53" s="296"/>
      <c r="K53" s="9"/>
      <c r="L53" s="296"/>
    </row>
    <row r="54" spans="1:12" x14ac:dyDescent="0.3">
      <c r="A54" s="1"/>
      <c r="B54" s="211" t="s">
        <v>57</v>
      </c>
      <c r="C54" s="3"/>
      <c r="D54" s="257">
        <v>465</v>
      </c>
      <c r="E54" s="257">
        <v>465</v>
      </c>
      <c r="F54" s="257">
        <v>465</v>
      </c>
      <c r="H54" s="236">
        <f t="shared" ref="H54:H61" si="3">D54-E54</f>
        <v>0</v>
      </c>
      <c r="I54" s="305">
        <f t="shared" ref="I54:I61" si="4">+H54/E54</f>
        <v>0</v>
      </c>
      <c r="K54" s="236" t="e">
        <f>#REF!-#REF!</f>
        <v>#REF!</v>
      </c>
      <c r="L54" s="305" t="e">
        <f>+K54/#REF!</f>
        <v>#REF!</v>
      </c>
    </row>
    <row r="55" spans="1:12" x14ac:dyDescent="0.3">
      <c r="A55" s="1"/>
      <c r="B55" s="204" t="s">
        <v>58</v>
      </c>
      <c r="C55" s="3"/>
      <c r="D55" s="251">
        <v>416.67</v>
      </c>
      <c r="E55" s="251">
        <v>9885.4166666666661</v>
      </c>
      <c r="F55" s="251">
        <v>1887.67</v>
      </c>
      <c r="H55" s="237">
        <f t="shared" si="3"/>
        <v>-9468.746666666666</v>
      </c>
      <c r="I55" s="286">
        <f t="shared" si="4"/>
        <v>-0.95785003161222337</v>
      </c>
      <c r="K55" s="237" t="e">
        <f>#REF!-#REF!</f>
        <v>#REF!</v>
      </c>
      <c r="L55" s="286" t="e">
        <f>+K55/#REF!</f>
        <v>#REF!</v>
      </c>
    </row>
    <row r="56" spans="1:12" x14ac:dyDescent="0.3">
      <c r="A56" s="1"/>
      <c r="B56" s="204" t="s">
        <v>59</v>
      </c>
      <c r="C56" s="3"/>
      <c r="D56" s="251">
        <v>66905.350000000006</v>
      </c>
      <c r="E56" s="251">
        <v>70172</v>
      </c>
      <c r="F56" s="251">
        <v>19701.43</v>
      </c>
      <c r="H56" s="237">
        <f t="shared" si="3"/>
        <v>-3266.6499999999942</v>
      </c>
      <c r="I56" s="286">
        <f t="shared" si="4"/>
        <v>-4.655204355013387E-2</v>
      </c>
      <c r="K56" s="237" t="e">
        <f>#REF!-#REF!</f>
        <v>#REF!</v>
      </c>
      <c r="L56" s="286" t="e">
        <f>+K56/#REF!</f>
        <v>#REF!</v>
      </c>
    </row>
    <row r="57" spans="1:12" x14ac:dyDescent="0.3">
      <c r="A57" s="1"/>
      <c r="B57" s="204" t="s">
        <v>61</v>
      </c>
      <c r="C57" s="3"/>
      <c r="D57" s="251">
        <v>350</v>
      </c>
      <c r="E57" s="261">
        <v>192</v>
      </c>
      <c r="F57" s="251">
        <v>312.88</v>
      </c>
      <c r="H57" s="237">
        <f t="shared" si="3"/>
        <v>158</v>
      </c>
      <c r="I57" s="286">
        <f t="shared" si="4"/>
        <v>0.82291666666666663</v>
      </c>
      <c r="K57" s="237" t="e">
        <f>#REF!-#REF!</f>
        <v>#REF!</v>
      </c>
      <c r="L57" s="286" t="e">
        <f>+K57/#REF!</f>
        <v>#REF!</v>
      </c>
    </row>
    <row r="58" spans="1:12" x14ac:dyDescent="0.3">
      <c r="A58" s="1"/>
      <c r="B58" s="204" t="s">
        <v>62</v>
      </c>
      <c r="C58" s="3"/>
      <c r="D58" s="261">
        <v>2968.73</v>
      </c>
      <c r="E58" s="261">
        <v>3897</v>
      </c>
      <c r="F58" s="261">
        <v>2530.33</v>
      </c>
      <c r="H58" s="237">
        <f t="shared" si="3"/>
        <v>-928.27</v>
      </c>
      <c r="I58" s="286">
        <f t="shared" si="4"/>
        <v>-0.23820118039517577</v>
      </c>
      <c r="K58" s="237" t="e">
        <f>#REF!-#REF!</f>
        <v>#REF!</v>
      </c>
      <c r="L58" s="286" t="e">
        <f>+K58/#REF!</f>
        <v>#REF!</v>
      </c>
    </row>
    <row r="59" spans="1:12" x14ac:dyDescent="0.3">
      <c r="A59" s="1"/>
      <c r="B59" s="204" t="s">
        <v>63</v>
      </c>
      <c r="C59" s="3"/>
      <c r="D59" s="261">
        <v>14827.210000000001</v>
      </c>
      <c r="E59" s="261">
        <v>12978</v>
      </c>
      <c r="F59" s="261">
        <v>14399.58</v>
      </c>
      <c r="H59" s="237">
        <f t="shared" si="3"/>
        <v>1849.2100000000009</v>
      </c>
      <c r="I59" s="286">
        <f t="shared" si="4"/>
        <v>0.14248805671135775</v>
      </c>
      <c r="K59" s="237" t="e">
        <f>#REF!-#REF!</f>
        <v>#REF!</v>
      </c>
      <c r="L59" s="286" t="e">
        <f>+K59/#REF!</f>
        <v>#REF!</v>
      </c>
    </row>
    <row r="60" spans="1:12" x14ac:dyDescent="0.3">
      <c r="A60" s="1"/>
      <c r="B60" s="204" t="s">
        <v>25</v>
      </c>
      <c r="C60" s="3"/>
      <c r="D60" s="261">
        <v>194469.12</v>
      </c>
      <c r="E60" s="261">
        <v>194469.15000000002</v>
      </c>
      <c r="F60" s="261">
        <v>188805.18</v>
      </c>
      <c r="H60" s="237">
        <f t="shared" si="3"/>
        <v>-3.0000000027939677E-2</v>
      </c>
      <c r="I60" s="286">
        <f t="shared" si="4"/>
        <v>-1.5426611381774268E-7</v>
      </c>
      <c r="K60" s="237" t="e">
        <f>#REF!-#REF!</f>
        <v>#REF!</v>
      </c>
      <c r="L60" s="286" t="e">
        <f>+K60/#REF!</f>
        <v>#REF!</v>
      </c>
    </row>
    <row r="61" spans="1:12" x14ac:dyDescent="0.3">
      <c r="A61" s="1"/>
      <c r="B61" s="204" t="s">
        <v>64</v>
      </c>
      <c r="C61" s="3"/>
      <c r="D61" s="261">
        <v>2677.5</v>
      </c>
      <c r="E61" s="261">
        <v>2679</v>
      </c>
      <c r="F61" s="261">
        <v>-4889.2700000000004</v>
      </c>
      <c r="H61" s="237">
        <f t="shared" si="3"/>
        <v>-1.5</v>
      </c>
      <c r="I61" s="286">
        <f t="shared" si="4"/>
        <v>-5.5991041433370661E-4</v>
      </c>
      <c r="K61" s="237" t="e">
        <f>#REF!-#REF!</f>
        <v>#REF!</v>
      </c>
      <c r="L61" s="286" t="e">
        <f>+K61/#REF!</f>
        <v>#REF!</v>
      </c>
    </row>
    <row r="62" spans="1:12" x14ac:dyDescent="0.3">
      <c r="A62" s="1"/>
      <c r="B62" s="204" t="s">
        <v>65</v>
      </c>
      <c r="C62" s="3"/>
      <c r="D62" s="261">
        <v>0</v>
      </c>
      <c r="E62" s="261">
        <v>0</v>
      </c>
      <c r="F62" s="261">
        <v>0</v>
      </c>
      <c r="H62" s="237"/>
      <c r="I62" s="286"/>
      <c r="K62" s="237" t="e">
        <f>#REF!-#REF!</f>
        <v>#REF!</v>
      </c>
      <c r="L62" s="286"/>
    </row>
    <row r="63" spans="1:12" x14ac:dyDescent="0.3">
      <c r="A63" s="1"/>
      <c r="B63" s="205" t="s">
        <v>66</v>
      </c>
      <c r="C63" s="3"/>
      <c r="D63" s="350">
        <v>1400.01</v>
      </c>
      <c r="E63" s="254">
        <v>1401</v>
      </c>
      <c r="F63" s="350">
        <v>1400.01</v>
      </c>
      <c r="H63" s="246">
        <f>D63-E63</f>
        <v>-0.99000000000000909</v>
      </c>
      <c r="I63" s="288">
        <f>+H63/E63</f>
        <v>-7.0663811563169811E-4</v>
      </c>
      <c r="K63" s="246" t="e">
        <f>#REF!-#REF!</f>
        <v>#REF!</v>
      </c>
      <c r="L63" s="288" t="e">
        <f>+K63/#REF!</f>
        <v>#REF!</v>
      </c>
    </row>
    <row r="64" spans="1:12" ht="15" thickBot="1" x14ac:dyDescent="0.35">
      <c r="A64" s="1"/>
      <c r="B64" s="210" t="s">
        <v>67</v>
      </c>
      <c r="C64" s="4"/>
      <c r="D64" s="259">
        <f>SUM(D54:D63)</f>
        <v>284479.59000000003</v>
      </c>
      <c r="E64" s="259">
        <f>SUM(E54:E63)</f>
        <v>296138.56666666671</v>
      </c>
      <c r="F64" s="259">
        <f>SUM(F54:F63)</f>
        <v>224612.81000000003</v>
      </c>
      <c r="H64" s="242">
        <f>D64-E64</f>
        <v>-11658.976666666684</v>
      </c>
      <c r="I64" s="292">
        <f>+H64/E64</f>
        <v>-3.9370004379706537E-2</v>
      </c>
      <c r="K64" s="242" t="e">
        <f>#REF!-#REF!</f>
        <v>#REF!</v>
      </c>
      <c r="L64" s="292" t="e">
        <f>+K64/#REF!</f>
        <v>#REF!</v>
      </c>
    </row>
    <row r="65" spans="1:12" ht="15" thickBot="1" x14ac:dyDescent="0.35">
      <c r="A65" s="1"/>
      <c r="B65" s="48"/>
      <c r="C65" s="49"/>
      <c r="D65" s="232"/>
      <c r="E65" s="57"/>
      <c r="F65" s="232"/>
      <c r="H65" s="57"/>
      <c r="I65" s="232"/>
      <c r="K65" s="57"/>
      <c r="L65" s="232"/>
    </row>
    <row r="66" spans="1:12" ht="15" thickBot="1" x14ac:dyDescent="0.35">
      <c r="A66" s="1"/>
      <c r="B66" s="208" t="s">
        <v>68</v>
      </c>
      <c r="C66" s="4"/>
      <c r="D66" s="120"/>
      <c r="E66" s="120"/>
      <c r="F66" s="120"/>
      <c r="H66" s="120"/>
      <c r="I66" s="296"/>
      <c r="K66" s="120"/>
      <c r="L66" s="296"/>
    </row>
    <row r="67" spans="1:12" ht="15" thickBot="1" x14ac:dyDescent="0.35">
      <c r="A67" s="1"/>
      <c r="B67" s="220" t="s">
        <v>69</v>
      </c>
      <c r="C67" s="29"/>
      <c r="D67" s="354">
        <f>D41-D51-D64</f>
        <v>470479.28000000009</v>
      </c>
      <c r="E67" s="354">
        <f>E41-E51-E64</f>
        <v>577173.91106666671</v>
      </c>
      <c r="F67" s="354">
        <f>F41-F51-F64</f>
        <v>584132.39999999991</v>
      </c>
      <c r="H67" s="243">
        <f>D67-E67</f>
        <v>-106694.63106666662</v>
      </c>
      <c r="I67" s="307">
        <f>+H67/E67</f>
        <v>-0.18485698854524771</v>
      </c>
      <c r="K67" s="243" t="e">
        <f>#REF!-#REF!</f>
        <v>#REF!</v>
      </c>
      <c r="L67" s="307" t="e">
        <f>+K67/#REF!</f>
        <v>#REF!</v>
      </c>
    </row>
    <row r="68" spans="1:12" x14ac:dyDescent="0.3">
      <c r="A68" s="1"/>
      <c r="B68" s="2"/>
      <c r="C68" s="4"/>
      <c r="D68" s="233"/>
      <c r="E68" s="100"/>
      <c r="F68" s="233"/>
      <c r="H68" s="100"/>
      <c r="I68" s="233"/>
      <c r="K68" s="100"/>
      <c r="L68" s="233"/>
    </row>
    <row r="69" spans="1:12" ht="15" thickBot="1" x14ac:dyDescent="0.35">
      <c r="A69" s="1"/>
      <c r="B69" s="48"/>
      <c r="C69" s="49"/>
      <c r="D69" s="76"/>
      <c r="E69" s="76"/>
      <c r="F69" s="76"/>
      <c r="H69" s="76"/>
      <c r="I69" s="232"/>
      <c r="K69" s="76"/>
      <c r="L69" s="232"/>
    </row>
    <row r="70" spans="1:12" ht="15" thickBot="1" x14ac:dyDescent="0.35">
      <c r="A70" s="1"/>
      <c r="B70" s="208" t="s">
        <v>70</v>
      </c>
      <c r="C70" s="4"/>
      <c r="D70" s="101"/>
      <c r="E70" s="101"/>
      <c r="F70" s="101"/>
      <c r="H70" s="101"/>
      <c r="I70" s="297"/>
      <c r="K70" s="101"/>
      <c r="L70" s="297"/>
    </row>
    <row r="71" spans="1:12" ht="15" thickBot="1" x14ac:dyDescent="0.35">
      <c r="A71" s="1"/>
      <c r="B71" s="48"/>
      <c r="C71" s="49"/>
      <c r="D71" s="103"/>
      <c r="E71" s="103"/>
      <c r="F71" s="103"/>
      <c r="H71" s="103"/>
      <c r="I71" s="295"/>
      <c r="K71" s="103"/>
      <c r="L71" s="295"/>
    </row>
    <row r="72" spans="1:12" ht="15" thickBot="1" x14ac:dyDescent="0.35">
      <c r="A72" s="1"/>
      <c r="B72" s="208" t="s">
        <v>48</v>
      </c>
      <c r="C72" s="4"/>
      <c r="D72" s="224" t="str">
        <f>D3</f>
        <v>ACTUAL 2025 - Q1</v>
      </c>
      <c r="E72" s="351" t="str">
        <f>E3</f>
        <v>BUDGET 2025 - Q1</v>
      </c>
      <c r="F72" s="224" t="str">
        <f>F3</f>
        <v>ACTUAL 2024 - Q1</v>
      </c>
      <c r="H72" s="235" t="str">
        <f>+H$3</f>
        <v xml:space="preserve"> Q1 2025 vs B 2025</v>
      </c>
      <c r="I72" s="311" t="str">
        <f>+I$3</f>
        <v>%</v>
      </c>
      <c r="K72" s="235" t="str">
        <f>+K$3</f>
        <v>Act 2021 vs Bud 2021</v>
      </c>
      <c r="L72" s="311" t="str">
        <f>+L$3</f>
        <v>%</v>
      </c>
    </row>
    <row r="73" spans="1:12" x14ac:dyDescent="0.3">
      <c r="A73" s="1"/>
      <c r="B73" s="204" t="s">
        <v>18</v>
      </c>
      <c r="C73" s="3"/>
      <c r="D73" s="355">
        <v>42998.76</v>
      </c>
      <c r="E73" s="251">
        <v>51107.853866666672</v>
      </c>
      <c r="F73" s="355">
        <v>59352.679999999993</v>
      </c>
      <c r="H73" s="237">
        <f t="shared" ref="H73:H80" si="5">D73-E73</f>
        <v>-8109.0938666666698</v>
      </c>
      <c r="I73" s="286">
        <f t="shared" ref="I73:I80" si="6">+H73/E73</f>
        <v>-0.1586662959439106</v>
      </c>
      <c r="K73" s="237" t="e">
        <f>#REF!-#REF!</f>
        <v>#REF!</v>
      </c>
      <c r="L73" s="286" t="e">
        <f>+K73/#REF!</f>
        <v>#REF!</v>
      </c>
    </row>
    <row r="74" spans="1:12" x14ac:dyDescent="0.3">
      <c r="A74" s="1"/>
      <c r="B74" s="204" t="s">
        <v>71</v>
      </c>
      <c r="C74" s="3"/>
      <c r="D74" s="355">
        <v>56152.880000000005</v>
      </c>
      <c r="E74" s="251">
        <v>50198.21975887999</v>
      </c>
      <c r="F74" s="355">
        <v>56396.12</v>
      </c>
      <c r="H74" s="237">
        <f t="shared" si="5"/>
        <v>5954.6602411200147</v>
      </c>
      <c r="I74" s="286">
        <f t="shared" si="6"/>
        <v>0.11862293662449343</v>
      </c>
      <c r="K74" s="237" t="e">
        <f>#REF!-#REF!</f>
        <v>#REF!</v>
      </c>
      <c r="L74" s="286" t="e">
        <f>+K74/#REF!</f>
        <v>#REF!</v>
      </c>
    </row>
    <row r="75" spans="1:12" x14ac:dyDescent="0.3">
      <c r="A75" s="1"/>
      <c r="B75" s="204" t="s">
        <v>72</v>
      </c>
      <c r="C75" s="3"/>
      <c r="D75" s="355">
        <v>2631</v>
      </c>
      <c r="E75" s="251">
        <v>2709.9300000000003</v>
      </c>
      <c r="F75" s="355">
        <v>2631</v>
      </c>
      <c r="H75" s="237">
        <f t="shared" si="5"/>
        <v>-78.930000000000291</v>
      </c>
      <c r="I75" s="286">
        <f t="shared" si="6"/>
        <v>-2.9126213592233115E-2</v>
      </c>
      <c r="K75" s="237" t="e">
        <f>#REF!-#REF!</f>
        <v>#REF!</v>
      </c>
      <c r="L75" s="286" t="e">
        <f>+K75/#REF!</f>
        <v>#REF!</v>
      </c>
    </row>
    <row r="76" spans="1:12" x14ac:dyDescent="0.3">
      <c r="A76" s="1"/>
      <c r="B76" s="204" t="s">
        <v>50</v>
      </c>
      <c r="C76" s="3"/>
      <c r="D76" s="355">
        <v>4572.22</v>
      </c>
      <c r="E76" s="251">
        <v>8135.1</v>
      </c>
      <c r="F76" s="355">
        <v>9537.07</v>
      </c>
      <c r="H76" s="237">
        <f t="shared" si="5"/>
        <v>-3562.88</v>
      </c>
      <c r="I76" s="286">
        <f t="shared" si="6"/>
        <v>-0.43796388489385502</v>
      </c>
      <c r="K76" s="237" t="e">
        <f>#REF!-#REF!</f>
        <v>#REF!</v>
      </c>
      <c r="L76" s="286" t="e">
        <f>+K76/#REF!</f>
        <v>#REF!</v>
      </c>
    </row>
    <row r="77" spans="1:12" x14ac:dyDescent="0.3">
      <c r="A77" s="1"/>
      <c r="B77" s="204" t="s">
        <v>73</v>
      </c>
      <c r="C77" s="3"/>
      <c r="D77" s="355">
        <v>9129.41</v>
      </c>
      <c r="E77" s="251">
        <v>8590</v>
      </c>
      <c r="F77" s="355">
        <v>6383.84</v>
      </c>
      <c r="H77" s="237">
        <f t="shared" si="5"/>
        <v>539.40999999999985</v>
      </c>
      <c r="I77" s="286">
        <f t="shared" si="6"/>
        <v>6.2795110593713607E-2</v>
      </c>
      <c r="K77" s="237" t="e">
        <f>#REF!-#REF!</f>
        <v>#REF!</v>
      </c>
      <c r="L77" s="286" t="e">
        <f>+K77/#REF!</f>
        <v>#REF!</v>
      </c>
    </row>
    <row r="78" spans="1:12" x14ac:dyDescent="0.3">
      <c r="A78" s="1"/>
      <c r="B78" s="204" t="s">
        <v>52</v>
      </c>
      <c r="C78" s="3"/>
      <c r="D78" s="355">
        <v>3133.23</v>
      </c>
      <c r="E78" s="251">
        <v>2997</v>
      </c>
      <c r="F78" s="355">
        <v>1730</v>
      </c>
      <c r="H78" s="237">
        <f t="shared" si="5"/>
        <v>136.23000000000002</v>
      </c>
      <c r="I78" s="286">
        <f t="shared" si="6"/>
        <v>4.5455455455455464E-2</v>
      </c>
      <c r="K78" s="237" t="e">
        <f>#REF!-#REF!</f>
        <v>#REF!</v>
      </c>
      <c r="L78" s="286" t="e">
        <f>+K78/#REF!</f>
        <v>#REF!</v>
      </c>
    </row>
    <row r="79" spans="1:12" x14ac:dyDescent="0.3">
      <c r="A79" s="1"/>
      <c r="B79" s="204" t="s">
        <v>53</v>
      </c>
      <c r="C79" s="3"/>
      <c r="D79" s="355">
        <v>20169.88</v>
      </c>
      <c r="E79" s="251">
        <v>18697.34</v>
      </c>
      <c r="F79" s="355">
        <v>15285.579999999998</v>
      </c>
      <c r="H79" s="237">
        <f t="shared" si="5"/>
        <v>1472.5400000000009</v>
      </c>
      <c r="I79" s="286">
        <f t="shared" si="6"/>
        <v>7.8756657364095692E-2</v>
      </c>
      <c r="K79" s="237" t="e">
        <f>#REF!-#REF!</f>
        <v>#REF!</v>
      </c>
      <c r="L79" s="286" t="e">
        <f>+K79/#REF!</f>
        <v>#REF!</v>
      </c>
    </row>
    <row r="80" spans="1:12" x14ac:dyDescent="0.3">
      <c r="A80" s="1"/>
      <c r="B80" s="204" t="s">
        <v>54</v>
      </c>
      <c r="C80" s="3"/>
      <c r="D80" s="355">
        <v>11323.75</v>
      </c>
      <c r="E80" s="251">
        <v>11562.128246061224</v>
      </c>
      <c r="F80" s="355">
        <v>11141.699999999999</v>
      </c>
      <c r="H80" s="237">
        <f t="shared" si="5"/>
        <v>-238.37824606122376</v>
      </c>
      <c r="I80" s="286">
        <f t="shared" si="6"/>
        <v>-2.0617159833219299E-2</v>
      </c>
      <c r="K80" s="237" t="e">
        <f>#REF!-#REF!</f>
        <v>#REF!</v>
      </c>
      <c r="L80" s="286" t="e">
        <f>+K80/#REF!</f>
        <v>#REF!</v>
      </c>
    </row>
    <row r="81" spans="1:12" x14ac:dyDescent="0.3">
      <c r="A81" s="1"/>
      <c r="B81" s="205"/>
      <c r="C81" s="3"/>
      <c r="D81" s="356"/>
      <c r="E81" s="254"/>
      <c r="F81" s="356"/>
      <c r="H81" s="246"/>
      <c r="I81" s="288"/>
      <c r="K81" s="246" t="e">
        <f>#REF!-#REF!</f>
        <v>#REF!</v>
      </c>
      <c r="L81" s="288"/>
    </row>
    <row r="82" spans="1:12" ht="15" thickBot="1" x14ac:dyDescent="0.35">
      <c r="A82" s="1"/>
      <c r="B82" s="210" t="s">
        <v>55</v>
      </c>
      <c r="C82" s="4"/>
      <c r="D82" s="215">
        <f>SUM(D73:D81)</f>
        <v>150111.13</v>
      </c>
      <c r="E82" s="259">
        <f>SUM(E73:E81)</f>
        <v>153997.57187160788</v>
      </c>
      <c r="F82" s="215">
        <f>SUM(F73:F81)</f>
        <v>162457.99</v>
      </c>
      <c r="H82" s="241">
        <f>D82-E82</f>
        <v>-3886.4418716078799</v>
      </c>
      <c r="I82" s="292">
        <f>+H82/E82</f>
        <v>-2.5237033443930634E-2</v>
      </c>
      <c r="K82" s="241" t="e">
        <f>#REF!-#REF!</f>
        <v>#REF!</v>
      </c>
      <c r="L82" s="292" t="e">
        <f>+K82/#REF!</f>
        <v>#REF!</v>
      </c>
    </row>
    <row r="83" spans="1:12" ht="15" thickBot="1" x14ac:dyDescent="0.35">
      <c r="A83" s="1"/>
      <c r="B83" s="48"/>
      <c r="C83" s="49"/>
      <c r="D83" s="232"/>
      <c r="E83" s="76"/>
      <c r="F83" s="232"/>
      <c r="H83" s="76"/>
      <c r="I83" s="232"/>
      <c r="K83" s="76"/>
      <c r="L83" s="232"/>
    </row>
    <row r="84" spans="1:12" ht="15" thickBot="1" x14ac:dyDescent="0.35">
      <c r="A84" s="1"/>
      <c r="B84" s="208" t="s">
        <v>56</v>
      </c>
      <c r="C84" s="4"/>
      <c r="D84" s="9"/>
      <c r="E84" s="9"/>
      <c r="F84" s="9"/>
      <c r="H84" s="9"/>
      <c r="I84" s="296"/>
      <c r="K84" s="9"/>
      <c r="L84" s="296"/>
    </row>
    <row r="85" spans="1:12" x14ac:dyDescent="0.3">
      <c r="A85" s="1"/>
      <c r="B85" s="211" t="s">
        <v>74</v>
      </c>
      <c r="C85" s="3"/>
      <c r="D85" s="257">
        <v>3032.45</v>
      </c>
      <c r="E85" s="257">
        <v>2887</v>
      </c>
      <c r="F85" s="257">
        <v>2329.98</v>
      </c>
      <c r="H85" s="236">
        <f t="shared" ref="H85:H93" si="7">D85-E85</f>
        <v>145.44999999999982</v>
      </c>
      <c r="I85" s="305">
        <f>+H85/E85</f>
        <v>5.0381018358157191E-2</v>
      </c>
      <c r="K85" s="236" t="e">
        <f>#REF!-#REF!</f>
        <v>#REF!</v>
      </c>
      <c r="L85" s="305" t="e">
        <f>+K85/#REF!</f>
        <v>#REF!</v>
      </c>
    </row>
    <row r="86" spans="1:12" x14ac:dyDescent="0.3">
      <c r="A86" s="1"/>
      <c r="B86" s="204" t="s">
        <v>75</v>
      </c>
      <c r="C86" s="3"/>
      <c r="D86" s="251">
        <v>2276</v>
      </c>
      <c r="E86" s="251">
        <v>6476</v>
      </c>
      <c r="F86" s="251">
        <v>9087.5</v>
      </c>
      <c r="H86" s="237">
        <f t="shared" si="7"/>
        <v>-4200</v>
      </c>
      <c r="I86" s="286">
        <f>+H86/E86</f>
        <v>-0.6485484867201976</v>
      </c>
      <c r="K86" s="237" t="e">
        <f>#REF!-#REF!</f>
        <v>#REF!</v>
      </c>
      <c r="L86" s="286" t="e">
        <f>+K86/#REF!</f>
        <v>#REF!</v>
      </c>
    </row>
    <row r="87" spans="1:12" x14ac:dyDescent="0.3">
      <c r="A87" s="1"/>
      <c r="B87" s="204" t="s">
        <v>76</v>
      </c>
      <c r="C87" s="3"/>
      <c r="D87" s="251">
        <v>42282.13</v>
      </c>
      <c r="E87" s="251">
        <v>72590.872499999998</v>
      </c>
      <c r="F87" s="251">
        <v>66732.33</v>
      </c>
      <c r="H87" s="237">
        <f t="shared" si="7"/>
        <v>-30308.7425</v>
      </c>
      <c r="I87" s="286">
        <f>+H87/E87</f>
        <v>-0.41752828497825262</v>
      </c>
      <c r="K87" s="237" t="e">
        <f>#REF!-#REF!</f>
        <v>#REF!</v>
      </c>
      <c r="L87" s="286" t="e">
        <f>+K87/#REF!</f>
        <v>#REF!</v>
      </c>
    </row>
    <row r="88" spans="1:12" x14ac:dyDescent="0.3">
      <c r="A88" s="1"/>
      <c r="B88" s="204" t="s">
        <v>77</v>
      </c>
      <c r="C88" s="3"/>
      <c r="D88" s="251">
        <v>0</v>
      </c>
      <c r="E88" s="251">
        <v>0</v>
      </c>
      <c r="F88" s="251">
        <v>0</v>
      </c>
      <c r="H88" s="237">
        <f t="shared" si="7"/>
        <v>0</v>
      </c>
      <c r="I88" s="286">
        <v>0</v>
      </c>
      <c r="K88" s="237" t="e">
        <f>#REF!-#REF!</f>
        <v>#REF!</v>
      </c>
      <c r="L88" s="286" t="e">
        <f>+K88/#REF!</f>
        <v>#REF!</v>
      </c>
    </row>
    <row r="89" spans="1:12" x14ac:dyDescent="0.3">
      <c r="A89" s="1"/>
      <c r="B89" s="204" t="s">
        <v>78</v>
      </c>
      <c r="C89" s="3"/>
      <c r="D89" s="251">
        <v>0</v>
      </c>
      <c r="E89" s="251">
        <v>225</v>
      </c>
      <c r="F89" s="251">
        <v>0</v>
      </c>
      <c r="H89" s="237">
        <f t="shared" si="7"/>
        <v>-225</v>
      </c>
      <c r="I89" s="286">
        <f>+H89/E89</f>
        <v>-1</v>
      </c>
      <c r="K89" s="237" t="e">
        <f>#REF!-#REF!</f>
        <v>#REF!</v>
      </c>
      <c r="L89" s="286" t="e">
        <f>+K89/#REF!</f>
        <v>#REF!</v>
      </c>
    </row>
    <row r="90" spans="1:12" x14ac:dyDescent="0.3">
      <c r="A90" s="1"/>
      <c r="B90" s="204" t="s">
        <v>79</v>
      </c>
      <c r="C90" s="3"/>
      <c r="D90" s="251">
        <v>0</v>
      </c>
      <c r="E90" s="251">
        <v>4620</v>
      </c>
      <c r="F90" s="251">
        <v>20.79</v>
      </c>
      <c r="H90" s="237">
        <f t="shared" si="7"/>
        <v>-4620</v>
      </c>
      <c r="I90" s="286">
        <f>+H90/E90</f>
        <v>-1</v>
      </c>
      <c r="K90" s="237" t="e">
        <f>#REF!-#REF!</f>
        <v>#REF!</v>
      </c>
      <c r="L90" s="286" t="e">
        <f>+K90/#REF!</f>
        <v>#REF!</v>
      </c>
    </row>
    <row r="91" spans="1:12" x14ac:dyDescent="0.3">
      <c r="A91" s="1"/>
      <c r="B91" s="204" t="s">
        <v>80</v>
      </c>
      <c r="C91" s="3"/>
      <c r="D91" s="251">
        <v>1967.09</v>
      </c>
      <c r="E91" s="251">
        <v>4155</v>
      </c>
      <c r="F91" s="251">
        <v>3289.01</v>
      </c>
      <c r="H91" s="237">
        <f t="shared" si="7"/>
        <v>-2187.91</v>
      </c>
      <c r="I91" s="286">
        <f>+H91/E91</f>
        <v>-0.5265728038507822</v>
      </c>
      <c r="K91" s="237" t="e">
        <f>#REF!-#REF!</f>
        <v>#REF!</v>
      </c>
      <c r="L91" s="286" t="e">
        <f>+K91/#REF!</f>
        <v>#REF!</v>
      </c>
    </row>
    <row r="92" spans="1:12" x14ac:dyDescent="0.3">
      <c r="A92" s="1"/>
      <c r="B92" s="204" t="s">
        <v>81</v>
      </c>
      <c r="C92" s="3"/>
      <c r="D92" s="251">
        <v>0</v>
      </c>
      <c r="E92" s="251">
        <v>3291</v>
      </c>
      <c r="F92" s="251">
        <v>1666.02</v>
      </c>
      <c r="H92" s="237">
        <f t="shared" si="7"/>
        <v>-3291</v>
      </c>
      <c r="I92" s="286">
        <f>+H92/E92</f>
        <v>-1</v>
      </c>
      <c r="K92" s="237" t="e">
        <f>#REF!-#REF!</f>
        <v>#REF!</v>
      </c>
      <c r="L92" s="286" t="e">
        <f>+K92/#REF!</f>
        <v>#REF!</v>
      </c>
    </row>
    <row r="93" spans="1:12" x14ac:dyDescent="0.3">
      <c r="A93" s="1"/>
      <c r="B93" s="204" t="s">
        <v>82</v>
      </c>
      <c r="C93" s="3"/>
      <c r="D93" s="251">
        <v>2170.6799999999998</v>
      </c>
      <c r="E93" s="251">
        <v>1251</v>
      </c>
      <c r="F93" s="251">
        <v>188.1</v>
      </c>
      <c r="H93" s="237">
        <f t="shared" si="7"/>
        <v>919.67999999999984</v>
      </c>
      <c r="I93" s="286">
        <f>+H93/E93</f>
        <v>0.73515587529976001</v>
      </c>
      <c r="K93" s="237" t="e">
        <f>#REF!-#REF!</f>
        <v>#REF!</v>
      </c>
      <c r="L93" s="286" t="e">
        <f>+K93/#REF!</f>
        <v>#REF!</v>
      </c>
    </row>
    <row r="94" spans="1:12" x14ac:dyDescent="0.3">
      <c r="A94" s="1"/>
      <c r="B94" s="204" t="s">
        <v>83</v>
      </c>
      <c r="C94" s="3"/>
      <c r="D94" s="251">
        <v>0</v>
      </c>
      <c r="E94" s="251">
        <v>0</v>
      </c>
      <c r="F94" s="251">
        <v>0</v>
      </c>
      <c r="H94" s="237"/>
      <c r="I94" s="286"/>
      <c r="K94" s="237" t="e">
        <f>#REF!-#REF!</f>
        <v>#REF!</v>
      </c>
      <c r="L94" s="286" t="e">
        <f>+K94/#REF!</f>
        <v>#REF!</v>
      </c>
    </row>
    <row r="95" spans="1:12" x14ac:dyDescent="0.3">
      <c r="A95" s="1"/>
      <c r="B95" s="204" t="s">
        <v>84</v>
      </c>
      <c r="C95" s="3"/>
      <c r="D95" s="251">
        <v>14231.25</v>
      </c>
      <c r="E95" s="251">
        <v>12500</v>
      </c>
      <c r="F95" s="251">
        <v>8350</v>
      </c>
      <c r="H95" s="237">
        <f t="shared" ref="H95:H102" si="8">D95-E95</f>
        <v>1731.25</v>
      </c>
      <c r="I95" s="286">
        <f t="shared" ref="I95:I102" si="9">+H95/E95</f>
        <v>0.13850000000000001</v>
      </c>
      <c r="K95" s="237" t="e">
        <f>#REF!-#REF!</f>
        <v>#REF!</v>
      </c>
      <c r="L95" s="286" t="e">
        <f>+K95/#REF!</f>
        <v>#REF!</v>
      </c>
    </row>
    <row r="96" spans="1:12" x14ac:dyDescent="0.3">
      <c r="A96" s="1"/>
      <c r="B96" s="204" t="s">
        <v>85</v>
      </c>
      <c r="C96" s="3"/>
      <c r="D96" s="251">
        <v>9630</v>
      </c>
      <c r="E96" s="251">
        <v>9630</v>
      </c>
      <c r="F96" s="251">
        <v>9630</v>
      </c>
      <c r="H96" s="237">
        <f t="shared" si="8"/>
        <v>0</v>
      </c>
      <c r="I96" s="286">
        <f t="shared" si="9"/>
        <v>0</v>
      </c>
      <c r="K96" s="237" t="e">
        <f>#REF!-#REF!</f>
        <v>#REF!</v>
      </c>
      <c r="L96" s="286" t="e">
        <f>+K96/#REF!</f>
        <v>#REF!</v>
      </c>
    </row>
    <row r="97" spans="1:12" x14ac:dyDescent="0.3">
      <c r="A97" s="1"/>
      <c r="B97" s="204" t="s">
        <v>61</v>
      </c>
      <c r="C97" s="3"/>
      <c r="D97" s="251">
        <v>1648.6599999999999</v>
      </c>
      <c r="E97" s="251">
        <v>1443</v>
      </c>
      <c r="F97" s="251">
        <v>1343.96</v>
      </c>
      <c r="H97" s="237">
        <f t="shared" si="8"/>
        <v>205.65999999999985</v>
      </c>
      <c r="I97" s="286">
        <f t="shared" si="9"/>
        <v>0.14252252252252243</v>
      </c>
      <c r="K97" s="237" t="e">
        <f>#REF!-#REF!</f>
        <v>#REF!</v>
      </c>
      <c r="L97" s="286" t="e">
        <f>+K97/#REF!</f>
        <v>#REF!</v>
      </c>
    </row>
    <row r="98" spans="1:12" x14ac:dyDescent="0.3">
      <c r="A98" s="1"/>
      <c r="B98" s="204" t="s">
        <v>86</v>
      </c>
      <c r="C98" s="3"/>
      <c r="D98" s="251">
        <v>949.1</v>
      </c>
      <c r="E98" s="251">
        <v>1820.666666666667</v>
      </c>
      <c r="F98" s="251">
        <v>0</v>
      </c>
      <c r="H98" s="237">
        <f t="shared" si="8"/>
        <v>-871.56666666666695</v>
      </c>
      <c r="I98" s="286">
        <f t="shared" si="9"/>
        <v>-0.47870743317466136</v>
      </c>
      <c r="K98" s="237" t="e">
        <f>#REF!-#REF!</f>
        <v>#REF!</v>
      </c>
      <c r="L98" s="286" t="e">
        <f>+K98/#REF!</f>
        <v>#REF!</v>
      </c>
    </row>
    <row r="99" spans="1:12" x14ac:dyDescent="0.3">
      <c r="A99" s="1"/>
      <c r="B99" s="204" t="s">
        <v>87</v>
      </c>
      <c r="C99" s="3"/>
      <c r="D99" s="251">
        <v>11324.079999999998</v>
      </c>
      <c r="E99" s="251">
        <v>17081</v>
      </c>
      <c r="F99" s="251">
        <v>11750.720000000001</v>
      </c>
      <c r="H99" s="237">
        <f t="shared" si="8"/>
        <v>-5756.9200000000019</v>
      </c>
      <c r="I99" s="286">
        <f t="shared" si="9"/>
        <v>-0.33703647327439856</v>
      </c>
      <c r="K99" s="237" t="e">
        <f>#REF!-#REF!</f>
        <v>#REF!</v>
      </c>
      <c r="L99" s="286" t="e">
        <f>+K99/#REF!</f>
        <v>#REF!</v>
      </c>
    </row>
    <row r="100" spans="1:12" x14ac:dyDescent="0.3">
      <c r="A100" s="1"/>
      <c r="B100" s="204" t="s">
        <v>64</v>
      </c>
      <c r="C100" s="3"/>
      <c r="D100" s="251">
        <v>847.77</v>
      </c>
      <c r="E100" s="251">
        <v>1422</v>
      </c>
      <c r="F100" s="251">
        <v>803.38</v>
      </c>
      <c r="H100" s="237">
        <f t="shared" si="8"/>
        <v>-574.23</v>
      </c>
      <c r="I100" s="286">
        <f t="shared" si="9"/>
        <v>-0.40381856540084388</v>
      </c>
      <c r="K100" s="237" t="e">
        <f>#REF!-#REF!</f>
        <v>#REF!</v>
      </c>
      <c r="L100" s="286" t="e">
        <f>+K100/#REF!</f>
        <v>#REF!</v>
      </c>
    </row>
    <row r="101" spans="1:12" x14ac:dyDescent="0.3">
      <c r="A101" s="1"/>
      <c r="B101" s="205" t="s">
        <v>88</v>
      </c>
      <c r="C101" s="3"/>
      <c r="D101" s="254">
        <v>13689.59</v>
      </c>
      <c r="E101" s="254">
        <v>18880</v>
      </c>
      <c r="F101" s="254">
        <v>21304.78</v>
      </c>
      <c r="H101" s="246">
        <f t="shared" si="8"/>
        <v>-5190.41</v>
      </c>
      <c r="I101" s="288">
        <f t="shared" si="9"/>
        <v>-0.27491578389830507</v>
      </c>
      <c r="K101" s="246" t="e">
        <f>#REF!-#REF!</f>
        <v>#REF!</v>
      </c>
      <c r="L101" s="288" t="e">
        <f>+K101/#REF!</f>
        <v>#REF!</v>
      </c>
    </row>
    <row r="102" spans="1:12" ht="15" thickBot="1" x14ac:dyDescent="0.35">
      <c r="A102" s="1"/>
      <c r="B102" s="210" t="s">
        <v>67</v>
      </c>
      <c r="C102" s="4"/>
      <c r="D102" s="259">
        <f>SUM(D85:D101)</f>
        <v>104048.8</v>
      </c>
      <c r="E102" s="259">
        <f>SUM(E85:E101)</f>
        <v>158272.53916666668</v>
      </c>
      <c r="F102" s="259">
        <f>SUM(F85:F101)</f>
        <v>136496.57</v>
      </c>
      <c r="H102" s="241">
        <f t="shared" si="8"/>
        <v>-54223.739166666681</v>
      </c>
      <c r="I102" s="292">
        <f t="shared" si="9"/>
        <v>-0.34259726578068689</v>
      </c>
      <c r="K102" s="241" t="e">
        <f>#REF!-#REF!</f>
        <v>#REF!</v>
      </c>
      <c r="L102" s="292" t="e">
        <f>+K102/#REF!</f>
        <v>#REF!</v>
      </c>
    </row>
    <row r="103" spans="1:12" ht="15" thickBot="1" x14ac:dyDescent="0.35">
      <c r="A103" s="1"/>
      <c r="B103" s="48"/>
      <c r="C103" s="49"/>
      <c r="D103" s="232"/>
      <c r="E103" s="76"/>
      <c r="F103" s="232"/>
      <c r="H103" s="76"/>
      <c r="I103" s="232"/>
      <c r="K103" s="76"/>
      <c r="L103" s="232"/>
    </row>
    <row r="104" spans="1:12" ht="15" thickBot="1" x14ac:dyDescent="0.35">
      <c r="A104" s="1"/>
      <c r="B104" s="208" t="s">
        <v>68</v>
      </c>
      <c r="C104" s="4"/>
      <c r="D104" s="9"/>
      <c r="E104" s="9"/>
      <c r="F104" s="9"/>
      <c r="H104" s="9"/>
      <c r="I104" s="296"/>
      <c r="K104" s="9"/>
      <c r="L104" s="296"/>
    </row>
    <row r="105" spans="1:12" ht="15" thickBot="1" x14ac:dyDescent="0.35">
      <c r="A105" s="1"/>
      <c r="B105" s="220" t="s">
        <v>69</v>
      </c>
      <c r="C105" s="4"/>
      <c r="D105" s="217">
        <f>D82+D102</f>
        <v>254159.93</v>
      </c>
      <c r="E105" s="354">
        <f>E82+E102</f>
        <v>312270.1110382746</v>
      </c>
      <c r="F105" s="217">
        <f>F82+F102</f>
        <v>298954.56</v>
      </c>
      <c r="H105" s="244">
        <f>D105-E105</f>
        <v>-58110.181038274604</v>
      </c>
      <c r="I105" s="307">
        <f>+H105/E105</f>
        <v>-0.1860894750543452</v>
      </c>
      <c r="K105" s="244" t="e">
        <f>#REF!-#REF!</f>
        <v>#REF!</v>
      </c>
      <c r="L105" s="307" t="e">
        <f>+K105/#REF!</f>
        <v>#REF!</v>
      </c>
    </row>
    <row r="106" spans="1:12" ht="15" thickBot="1" x14ac:dyDescent="0.35">
      <c r="A106" s="1"/>
      <c r="B106" s="48"/>
      <c r="C106" s="49"/>
      <c r="D106" s="232"/>
      <c r="E106" s="76"/>
      <c r="F106" s="232"/>
      <c r="H106" s="76"/>
      <c r="I106" s="232"/>
      <c r="K106" s="76"/>
      <c r="L106" s="232"/>
    </row>
    <row r="107" spans="1:12" ht="15" thickBot="1" x14ac:dyDescent="0.35">
      <c r="A107" s="1"/>
      <c r="B107" s="208" t="s">
        <v>89</v>
      </c>
      <c r="C107" s="4"/>
      <c r="D107" s="101"/>
      <c r="E107" s="101"/>
      <c r="F107" s="101"/>
      <c r="H107" s="101"/>
      <c r="I107" s="297"/>
      <c r="K107" s="101"/>
      <c r="L107" s="297"/>
    </row>
    <row r="108" spans="1:12" ht="15" thickBot="1" x14ac:dyDescent="0.35">
      <c r="A108" s="1"/>
      <c r="B108" s="48"/>
      <c r="C108" s="49"/>
      <c r="D108" s="103"/>
      <c r="E108" s="103"/>
      <c r="F108" s="103"/>
      <c r="H108" s="103"/>
      <c r="I108" s="295"/>
      <c r="K108" s="103"/>
      <c r="L108" s="295"/>
    </row>
    <row r="109" spans="1:12" ht="15" thickBot="1" x14ac:dyDescent="0.35">
      <c r="A109" s="1"/>
      <c r="B109" s="209" t="s">
        <v>48</v>
      </c>
      <c r="C109" s="4"/>
      <c r="D109" s="351" t="str">
        <f>D3</f>
        <v>ACTUAL 2025 - Q1</v>
      </c>
      <c r="E109" s="351" t="str">
        <f>E3</f>
        <v>BUDGET 2025 - Q1</v>
      </c>
      <c r="F109" s="351" t="str">
        <f>F3</f>
        <v>ACTUAL 2024 - Q1</v>
      </c>
      <c r="H109" s="235" t="str">
        <f>+H$3</f>
        <v xml:space="preserve"> Q1 2025 vs B 2025</v>
      </c>
      <c r="I109" s="311" t="str">
        <f>+I$3</f>
        <v>%</v>
      </c>
      <c r="K109" s="235" t="str">
        <f>+K$3</f>
        <v>Act 2021 vs Bud 2021</v>
      </c>
      <c r="L109" s="311" t="str">
        <f>+L$3</f>
        <v>%</v>
      </c>
    </row>
    <row r="110" spans="1:12" x14ac:dyDescent="0.3">
      <c r="A110" s="1"/>
      <c r="B110" s="221" t="s">
        <v>19</v>
      </c>
      <c r="C110" s="3"/>
      <c r="D110" s="251">
        <v>72421.69</v>
      </c>
      <c r="E110" s="251">
        <v>62476.540533333333</v>
      </c>
      <c r="F110" s="251">
        <v>54416.78</v>
      </c>
      <c r="H110" s="237">
        <f t="shared" ref="H110:H115" si="10">D110-E110</f>
        <v>9945.1494666666695</v>
      </c>
      <c r="I110" s="286">
        <f t="shared" ref="I110:I115" si="11">+H110/E110</f>
        <v>0.15918214071665185</v>
      </c>
      <c r="K110" s="237" t="e">
        <f>#REF!-#REF!</f>
        <v>#REF!</v>
      </c>
      <c r="L110" s="286" t="e">
        <f>+K110/#REF!</f>
        <v>#REF!</v>
      </c>
    </row>
    <row r="111" spans="1:12" x14ac:dyDescent="0.3">
      <c r="A111" s="1"/>
      <c r="B111" s="204" t="s">
        <v>50</v>
      </c>
      <c r="C111" s="3"/>
      <c r="D111" s="251">
        <v>5598.59</v>
      </c>
      <c r="E111" s="251">
        <v>6764.0400000000009</v>
      </c>
      <c r="F111" s="251">
        <v>6189.82</v>
      </c>
      <c r="H111" s="237">
        <f t="shared" si="10"/>
        <v>-1165.4500000000007</v>
      </c>
      <c r="I111" s="286">
        <f t="shared" si="11"/>
        <v>-0.17230087344249895</v>
      </c>
      <c r="K111" s="237" t="e">
        <f>#REF!-#REF!</f>
        <v>#REF!</v>
      </c>
      <c r="L111" s="286" t="e">
        <f>+K111/#REF!</f>
        <v>#REF!</v>
      </c>
    </row>
    <row r="112" spans="1:12" x14ac:dyDescent="0.3">
      <c r="A112" s="1"/>
      <c r="B112" s="204" t="s">
        <v>73</v>
      </c>
      <c r="C112" s="3"/>
      <c r="D112" s="251">
        <v>6807.7199999999993</v>
      </c>
      <c r="E112" s="251">
        <v>5287</v>
      </c>
      <c r="F112" s="251">
        <v>4138.62</v>
      </c>
      <c r="H112" s="237">
        <f t="shared" si="10"/>
        <v>1520.7199999999993</v>
      </c>
      <c r="I112" s="286">
        <f t="shared" si="11"/>
        <v>0.28763381880083211</v>
      </c>
      <c r="K112" s="237" t="e">
        <f>#REF!-#REF!</f>
        <v>#REF!</v>
      </c>
      <c r="L112" s="286" t="e">
        <f>+K112/#REF!</f>
        <v>#REF!</v>
      </c>
    </row>
    <row r="113" spans="1:12" x14ac:dyDescent="0.3">
      <c r="A113" s="1"/>
      <c r="B113" s="204" t="s">
        <v>53</v>
      </c>
      <c r="C113" s="3"/>
      <c r="D113" s="251">
        <v>3057.16</v>
      </c>
      <c r="E113" s="251">
        <v>3350</v>
      </c>
      <c r="F113" s="251">
        <v>0</v>
      </c>
      <c r="H113" s="237">
        <f t="shared" si="10"/>
        <v>-292.84000000000015</v>
      </c>
      <c r="I113" s="286">
        <f t="shared" si="11"/>
        <v>-8.7414925373134375E-2</v>
      </c>
      <c r="K113" s="237" t="e">
        <f>#REF!-#REF!</f>
        <v>#REF!</v>
      </c>
      <c r="L113" s="286" t="e">
        <f>+K113/#REF!</f>
        <v>#REF!</v>
      </c>
    </row>
    <row r="114" spans="1:12" x14ac:dyDescent="0.3">
      <c r="A114" s="1"/>
      <c r="B114" s="204" t="s">
        <v>54</v>
      </c>
      <c r="C114" s="3"/>
      <c r="D114" s="251">
        <v>9905.81</v>
      </c>
      <c r="E114" s="251">
        <v>7355.4765397333322</v>
      </c>
      <c r="F114" s="251">
        <v>8524.36</v>
      </c>
      <c r="H114" s="237">
        <f t="shared" si="10"/>
        <v>2550.3334602666673</v>
      </c>
      <c r="I114" s="286">
        <f t="shared" si="11"/>
        <v>0.3467257962811921</v>
      </c>
      <c r="K114" s="237" t="e">
        <f>#REF!-#REF!</f>
        <v>#REF!</v>
      </c>
      <c r="L114" s="286" t="e">
        <f>+K114/#REF!</f>
        <v>#REF!</v>
      </c>
    </row>
    <row r="115" spans="1:12" x14ac:dyDescent="0.3">
      <c r="A115" s="1"/>
      <c r="B115" s="204" t="s">
        <v>90</v>
      </c>
      <c r="C115" s="3"/>
      <c r="D115" s="251">
        <v>-48895.485000000001</v>
      </c>
      <c r="E115" s="251">
        <v>-41327.768902926284</v>
      </c>
      <c r="F115" s="251">
        <v>-36634.79</v>
      </c>
      <c r="H115" s="237">
        <f t="shared" si="10"/>
        <v>-7567.7160970737168</v>
      </c>
      <c r="I115" s="286">
        <f t="shared" si="11"/>
        <v>0.18311455706329871</v>
      </c>
      <c r="K115" s="237" t="e">
        <f>#REF!-#REF!</f>
        <v>#REF!</v>
      </c>
      <c r="L115" s="286" t="e">
        <f>+K115/#REF!</f>
        <v>#REF!</v>
      </c>
    </row>
    <row r="116" spans="1:12" x14ac:dyDescent="0.3">
      <c r="A116" s="1"/>
      <c r="B116" s="203"/>
      <c r="C116" s="4"/>
      <c r="D116" s="254"/>
      <c r="E116" s="254"/>
      <c r="F116" s="254"/>
      <c r="H116" s="246"/>
      <c r="I116" s="288"/>
      <c r="K116" s="246" t="e">
        <f>#REF!-#REF!</f>
        <v>#REF!</v>
      </c>
      <c r="L116" s="288"/>
    </row>
    <row r="117" spans="1:12" ht="15" thickBot="1" x14ac:dyDescent="0.35">
      <c r="A117" s="1"/>
      <c r="B117" s="206" t="s">
        <v>55</v>
      </c>
      <c r="C117" s="4"/>
      <c r="D117" s="259">
        <f>SUM(D110:D116)</f>
        <v>48895.485000000001</v>
      </c>
      <c r="E117" s="259">
        <f>SUM(E110:E116)</f>
        <v>43905.288170140368</v>
      </c>
      <c r="F117" s="259">
        <f>SUM(F110:F116)</f>
        <v>36634.79</v>
      </c>
      <c r="H117" s="241">
        <f>D117-E117</f>
        <v>4990.196829859633</v>
      </c>
      <c r="I117" s="292">
        <f>+H117/E117</f>
        <v>0.11365821835679069</v>
      </c>
      <c r="K117" s="241" t="e">
        <f>#REF!-#REF!</f>
        <v>#REF!</v>
      </c>
      <c r="L117" s="292" t="e">
        <f>+K117/#REF!</f>
        <v>#REF!</v>
      </c>
    </row>
    <row r="118" spans="1:12" ht="15" thickBot="1" x14ac:dyDescent="0.35">
      <c r="A118" s="1"/>
      <c r="B118" s="48"/>
      <c r="C118" s="49"/>
      <c r="D118" s="76"/>
      <c r="E118" s="76"/>
      <c r="F118" s="76"/>
      <c r="H118" s="76"/>
      <c r="I118" s="232"/>
      <c r="K118" s="76"/>
      <c r="L118" s="232"/>
    </row>
    <row r="119" spans="1:12" ht="15" thickBot="1" x14ac:dyDescent="0.35">
      <c r="A119" s="1"/>
      <c r="B119" s="208" t="s">
        <v>56</v>
      </c>
      <c r="C119" s="4"/>
      <c r="D119" s="9"/>
      <c r="E119" s="9"/>
      <c r="F119" s="9"/>
      <c r="H119" s="9"/>
      <c r="I119" s="296"/>
      <c r="K119" s="9"/>
      <c r="L119" s="296"/>
    </row>
    <row r="120" spans="1:12" x14ac:dyDescent="0.3">
      <c r="A120" s="3"/>
      <c r="B120" s="211" t="s">
        <v>91</v>
      </c>
      <c r="C120" s="3"/>
      <c r="D120" s="266">
        <v>13782.59</v>
      </c>
      <c r="E120" s="357">
        <v>19842</v>
      </c>
      <c r="F120" s="266">
        <v>19930.940000000002</v>
      </c>
      <c r="H120" s="236">
        <f t="shared" ref="H120:H131" si="12">D120-E120</f>
        <v>-6059.41</v>
      </c>
      <c r="I120" s="305">
        <f t="shared" ref="I120:I125" si="13">+H120/E120</f>
        <v>-0.30538302590464672</v>
      </c>
      <c r="K120" s="236" t="e">
        <f>#REF!-#REF!</f>
        <v>#REF!</v>
      </c>
      <c r="L120" s="305" t="e">
        <f>+K120/#REF!</f>
        <v>#REF!</v>
      </c>
    </row>
    <row r="121" spans="1:12" x14ac:dyDescent="0.3">
      <c r="A121" s="3"/>
      <c r="B121" s="204" t="s">
        <v>110</v>
      </c>
      <c r="C121" s="3"/>
      <c r="D121" s="255">
        <v>4613.66</v>
      </c>
      <c r="E121" s="162">
        <v>1863</v>
      </c>
      <c r="F121" s="255">
        <v>4451.2</v>
      </c>
      <c r="H121" s="237">
        <f t="shared" si="12"/>
        <v>2750.66</v>
      </c>
      <c r="I121" s="286">
        <f t="shared" si="13"/>
        <v>1.4764680622651636</v>
      </c>
      <c r="K121" s="237" t="e">
        <f>#REF!-#REF!</f>
        <v>#REF!</v>
      </c>
      <c r="L121" s="286" t="e">
        <f>+K121/#REF!</f>
        <v>#REF!</v>
      </c>
    </row>
    <row r="122" spans="1:12" x14ac:dyDescent="0.3">
      <c r="A122" s="3"/>
      <c r="B122" s="204" t="s">
        <v>92</v>
      </c>
      <c r="C122" s="3"/>
      <c r="D122" s="255">
        <v>1465.48</v>
      </c>
      <c r="E122" s="162">
        <v>6000</v>
      </c>
      <c r="F122" s="255">
        <v>8277.27</v>
      </c>
      <c r="H122" s="237">
        <f t="shared" si="12"/>
        <v>-4534.5200000000004</v>
      </c>
      <c r="I122" s="286">
        <f t="shared" si="13"/>
        <v>-0.75575333333333339</v>
      </c>
      <c r="K122" s="237" t="e">
        <f>#REF!-#REF!</f>
        <v>#REF!</v>
      </c>
      <c r="L122" s="286" t="e">
        <f>+K122/#REF!</f>
        <v>#REF!</v>
      </c>
    </row>
    <row r="123" spans="1:12" x14ac:dyDescent="0.3">
      <c r="A123" s="3"/>
      <c r="B123" s="204" t="s">
        <v>61</v>
      </c>
      <c r="C123" s="3"/>
      <c r="D123" s="255">
        <v>452.16999999999996</v>
      </c>
      <c r="E123" s="162">
        <v>400</v>
      </c>
      <c r="F123" s="255">
        <v>728.13999999999987</v>
      </c>
      <c r="H123" s="237">
        <f t="shared" si="12"/>
        <v>52.169999999999959</v>
      </c>
      <c r="I123" s="286">
        <f t="shared" si="13"/>
        <v>0.1304249999999999</v>
      </c>
      <c r="K123" s="237" t="e">
        <f>#REF!-#REF!</f>
        <v>#REF!</v>
      </c>
      <c r="L123" s="286" t="e">
        <f>+K123/#REF!</f>
        <v>#REF!</v>
      </c>
    </row>
    <row r="124" spans="1:12" x14ac:dyDescent="0.3">
      <c r="A124" s="3"/>
      <c r="B124" s="222" t="s">
        <v>79</v>
      </c>
      <c r="C124" s="3"/>
      <c r="D124" s="162">
        <v>2605.1999999999998</v>
      </c>
      <c r="E124" s="162">
        <v>1950</v>
      </c>
      <c r="F124" s="162">
        <v>0</v>
      </c>
      <c r="H124" s="237">
        <f t="shared" si="12"/>
        <v>655.19999999999982</v>
      </c>
      <c r="I124" s="286">
        <f t="shared" si="13"/>
        <v>0.33599999999999991</v>
      </c>
      <c r="K124" s="237" t="e">
        <f>#REF!-#REF!</f>
        <v>#REF!</v>
      </c>
      <c r="L124" s="286" t="e">
        <f>+K124/#REF!</f>
        <v>#REF!</v>
      </c>
    </row>
    <row r="125" spans="1:12" x14ac:dyDescent="0.3">
      <c r="A125" s="1"/>
      <c r="B125" s="204" t="s">
        <v>93</v>
      </c>
      <c r="C125" s="1"/>
      <c r="D125" s="267">
        <v>106981.81999999999</v>
      </c>
      <c r="E125" s="162">
        <v>109844</v>
      </c>
      <c r="F125" s="267">
        <v>102824.37</v>
      </c>
      <c r="H125" s="237">
        <f t="shared" si="12"/>
        <v>-2862.1800000000076</v>
      </c>
      <c r="I125" s="286">
        <f t="shared" si="13"/>
        <v>-2.6056771421288441E-2</v>
      </c>
      <c r="K125" s="237" t="e">
        <f>#REF!-#REF!</f>
        <v>#REF!</v>
      </c>
      <c r="L125" s="286" t="e">
        <f>+K125/#REF!</f>
        <v>#REF!</v>
      </c>
    </row>
    <row r="126" spans="1:12" x14ac:dyDescent="0.3">
      <c r="A126" s="1"/>
      <c r="B126" s="204" t="s">
        <v>94</v>
      </c>
      <c r="C126" s="3"/>
      <c r="D126" s="255">
        <v>0</v>
      </c>
      <c r="E126" s="162">
        <v>0</v>
      </c>
      <c r="F126" s="255">
        <v>0</v>
      </c>
      <c r="H126" s="237">
        <f t="shared" si="12"/>
        <v>0</v>
      </c>
      <c r="I126" s="286">
        <v>0</v>
      </c>
      <c r="K126" s="237" t="e">
        <f>#REF!-#REF!</f>
        <v>#REF!</v>
      </c>
      <c r="L126" s="286" t="e">
        <f>+K126/#REF!</f>
        <v>#REF!</v>
      </c>
    </row>
    <row r="127" spans="1:12" x14ac:dyDescent="0.3">
      <c r="A127" s="1"/>
      <c r="B127" s="204" t="s">
        <v>90</v>
      </c>
      <c r="C127" s="1"/>
      <c r="D127" s="267">
        <v>-64950.459999999992</v>
      </c>
      <c r="E127" s="162">
        <v>-68937</v>
      </c>
      <c r="F127" s="267">
        <v>-68105.959999999992</v>
      </c>
      <c r="H127" s="237">
        <f t="shared" si="12"/>
        <v>3986.5400000000081</v>
      </c>
      <c r="I127" s="286">
        <f>+H127/E127</f>
        <v>-5.7828742184893575E-2</v>
      </c>
      <c r="K127" s="237" t="e">
        <f>#REF!-#REF!</f>
        <v>#REF!</v>
      </c>
      <c r="L127" s="286" t="e">
        <f>+K127/#REF!</f>
        <v>#REF!</v>
      </c>
    </row>
    <row r="128" spans="1:12" x14ac:dyDescent="0.3">
      <c r="A128" s="1"/>
      <c r="B128" s="204" t="s">
        <v>95</v>
      </c>
      <c r="C128" s="3"/>
      <c r="D128" s="255">
        <v>13500</v>
      </c>
      <c r="E128" s="162">
        <v>13500</v>
      </c>
      <c r="F128" s="255">
        <v>13500</v>
      </c>
      <c r="H128" s="237">
        <f t="shared" si="12"/>
        <v>0</v>
      </c>
      <c r="I128" s="286">
        <f>+H128/E128</f>
        <v>0</v>
      </c>
      <c r="K128" s="237" t="e">
        <f>#REF!-#REF!</f>
        <v>#REF!</v>
      </c>
      <c r="L128" s="286" t="e">
        <f>+K128/#REF!</f>
        <v>#REF!</v>
      </c>
    </row>
    <row r="129" spans="1:12" x14ac:dyDescent="0.3">
      <c r="A129" s="1"/>
      <c r="B129" s="204" t="s">
        <v>96</v>
      </c>
      <c r="C129" s="3"/>
      <c r="D129" s="255">
        <v>0</v>
      </c>
      <c r="E129" s="109">
        <v>600</v>
      </c>
      <c r="F129" s="255">
        <v>0</v>
      </c>
      <c r="H129" s="237">
        <f t="shared" si="12"/>
        <v>-600</v>
      </c>
      <c r="I129" s="286">
        <f>+H129/E129</f>
        <v>-1</v>
      </c>
      <c r="K129" s="237" t="e">
        <f>#REF!-#REF!</f>
        <v>#REF!</v>
      </c>
      <c r="L129" s="286" t="e">
        <f>+K129/#REF!</f>
        <v>#REF!</v>
      </c>
    </row>
    <row r="130" spans="1:12" x14ac:dyDescent="0.3">
      <c r="A130" s="1"/>
      <c r="B130" s="205" t="s">
        <v>97</v>
      </c>
      <c r="C130" s="3"/>
      <c r="D130" s="268">
        <v>1663.73</v>
      </c>
      <c r="E130" s="118">
        <v>2728</v>
      </c>
      <c r="F130" s="268">
        <v>91</v>
      </c>
      <c r="H130" s="246">
        <f t="shared" si="12"/>
        <v>-1064.27</v>
      </c>
      <c r="I130" s="288">
        <f>+H130/E130</f>
        <v>-0.39012829912023461</v>
      </c>
      <c r="K130" s="246" t="e">
        <f>#REF!-#REF!</f>
        <v>#REF!</v>
      </c>
      <c r="L130" s="288" t="e">
        <f>+K130/#REF!</f>
        <v>#REF!</v>
      </c>
    </row>
    <row r="131" spans="1:12" ht="15" thickBot="1" x14ac:dyDescent="0.35">
      <c r="A131" s="1"/>
      <c r="B131" s="210" t="s">
        <v>67</v>
      </c>
      <c r="C131" s="4"/>
      <c r="D131" s="259">
        <f>SUM(D120:D130)</f>
        <v>80114.189999999988</v>
      </c>
      <c r="E131" s="259">
        <f>SUM(E120:E130)</f>
        <v>87790</v>
      </c>
      <c r="F131" s="259">
        <f>SUM(F120:F130)</f>
        <v>81696.959999999992</v>
      </c>
      <c r="H131" s="241">
        <f t="shared" si="12"/>
        <v>-7675.8100000000122</v>
      </c>
      <c r="I131" s="292">
        <f>+H131/E131</f>
        <v>-8.7433762387515795E-2</v>
      </c>
      <c r="K131" s="241" t="e">
        <f>#REF!-#REF!</f>
        <v>#REF!</v>
      </c>
      <c r="L131" s="292" t="e">
        <f>+K131/#REF!</f>
        <v>#REF!</v>
      </c>
    </row>
    <row r="132" spans="1:12" ht="15" thickBot="1" x14ac:dyDescent="0.35">
      <c r="A132" s="1"/>
      <c r="B132" s="48"/>
      <c r="C132" s="49"/>
      <c r="D132" s="57"/>
      <c r="E132" s="57"/>
      <c r="F132" s="57"/>
      <c r="H132" s="57"/>
      <c r="I132" s="232"/>
      <c r="K132" s="57"/>
      <c r="L132" s="232"/>
    </row>
    <row r="133" spans="1:12" ht="15" thickBot="1" x14ac:dyDescent="0.35">
      <c r="A133" s="1"/>
      <c r="B133" s="208" t="s">
        <v>68</v>
      </c>
      <c r="C133" s="4"/>
      <c r="D133" s="120"/>
      <c r="E133" s="120"/>
      <c r="F133" s="120"/>
      <c r="H133" s="120"/>
      <c r="I133" s="296"/>
      <c r="K133" s="120"/>
      <c r="L133" s="296"/>
    </row>
    <row r="134" spans="1:12" ht="15" thickBot="1" x14ac:dyDescent="0.35">
      <c r="A134" s="1"/>
      <c r="B134" s="220" t="s">
        <v>69</v>
      </c>
      <c r="C134" s="4"/>
      <c r="D134" s="354">
        <f>D117+D131</f>
        <v>129009.67499999999</v>
      </c>
      <c r="E134" s="354">
        <f>E117+E131</f>
        <v>131695.28817014035</v>
      </c>
      <c r="F134" s="354">
        <f>F117+F131</f>
        <v>118331.75</v>
      </c>
      <c r="H134" s="244">
        <f>D134-E134</f>
        <v>-2685.6131701403647</v>
      </c>
      <c r="I134" s="307">
        <f>+H134/E134</f>
        <v>-2.0392629132416306E-2</v>
      </c>
      <c r="K134" s="244" t="e">
        <f>#REF!-#REF!</f>
        <v>#REF!</v>
      </c>
      <c r="L134" s="307" t="e">
        <f>+K134/#REF!</f>
        <v>#REF!</v>
      </c>
    </row>
    <row r="135" spans="1:12" x14ac:dyDescent="0.3">
      <c r="A135" s="1"/>
      <c r="B135" s="2"/>
      <c r="C135" s="4"/>
      <c r="D135" s="100"/>
      <c r="E135" s="100"/>
      <c r="F135" s="100"/>
      <c r="H135" s="100"/>
      <c r="I135" s="233"/>
      <c r="K135" s="100"/>
      <c r="L135" s="233"/>
    </row>
    <row r="136" spans="1:12" ht="15" thickBot="1" x14ac:dyDescent="0.35">
      <c r="A136" s="1"/>
      <c r="B136" s="48"/>
      <c r="C136" s="49"/>
      <c r="D136" s="76"/>
      <c r="E136" s="76"/>
      <c r="F136" s="76"/>
      <c r="H136" s="76"/>
      <c r="I136" s="232"/>
      <c r="K136" s="76"/>
      <c r="L136" s="232"/>
    </row>
    <row r="137" spans="1:12" ht="15" thickBot="1" x14ac:dyDescent="0.35">
      <c r="A137" s="1"/>
      <c r="B137" s="208" t="s">
        <v>98</v>
      </c>
      <c r="C137" s="4"/>
      <c r="D137" s="101"/>
      <c r="E137" s="101"/>
      <c r="F137" s="101"/>
      <c r="H137" s="101"/>
      <c r="I137" s="297"/>
      <c r="K137" s="101"/>
      <c r="L137" s="297"/>
    </row>
    <row r="138" spans="1:12" ht="15" thickBot="1" x14ac:dyDescent="0.35">
      <c r="A138" s="1"/>
      <c r="B138" s="48"/>
      <c r="C138" s="49"/>
      <c r="D138" s="103"/>
      <c r="E138" s="103"/>
      <c r="F138" s="103"/>
      <c r="H138" s="103"/>
      <c r="I138" s="295"/>
      <c r="K138" s="103"/>
      <c r="L138" s="295"/>
    </row>
    <row r="139" spans="1:12" ht="15" thickBot="1" x14ac:dyDescent="0.35">
      <c r="A139" s="1"/>
      <c r="B139" s="208" t="s">
        <v>48</v>
      </c>
      <c r="C139" s="4"/>
      <c r="D139" s="224" t="str">
        <f>D3</f>
        <v>ACTUAL 2025 - Q1</v>
      </c>
      <c r="E139" s="351" t="str">
        <f>E3</f>
        <v>BUDGET 2025 - Q1</v>
      </c>
      <c r="F139" s="224" t="str">
        <f>F3</f>
        <v>ACTUAL 2024 - Q1</v>
      </c>
      <c r="H139" s="235" t="str">
        <f>+H$3</f>
        <v xml:space="preserve"> Q1 2025 vs B 2025</v>
      </c>
      <c r="I139" s="311" t="str">
        <f>+I$3</f>
        <v>%</v>
      </c>
      <c r="K139" s="235" t="str">
        <f>+K$3</f>
        <v>Act 2021 vs Bud 2021</v>
      </c>
      <c r="L139" s="311" t="str">
        <f>+L$3</f>
        <v>%</v>
      </c>
    </row>
    <row r="140" spans="1:12" x14ac:dyDescent="0.3">
      <c r="A140" s="1"/>
      <c r="B140" s="225" t="s">
        <v>99</v>
      </c>
      <c r="C140" s="3"/>
      <c r="D140" s="358">
        <v>14991.7</v>
      </c>
      <c r="E140" s="358">
        <v>15173.300000000003</v>
      </c>
      <c r="F140" s="358">
        <v>16708</v>
      </c>
      <c r="G140" s="359"/>
      <c r="H140" s="237">
        <f>D140-E140</f>
        <v>-181.60000000000218</v>
      </c>
      <c r="I140" s="286">
        <f>+H140/E140</f>
        <v>-1.196839184620367E-2</v>
      </c>
      <c r="K140" s="245"/>
      <c r="L140" s="286"/>
    </row>
    <row r="141" spans="1:12" x14ac:dyDescent="0.3">
      <c r="A141" s="1"/>
      <c r="B141" s="203" t="s">
        <v>100</v>
      </c>
      <c r="C141" s="4"/>
      <c r="D141" s="251"/>
      <c r="E141" s="251"/>
      <c r="F141" s="251"/>
      <c r="G141" s="359"/>
      <c r="H141" s="237"/>
      <c r="I141" s="286"/>
      <c r="K141" s="245"/>
      <c r="L141" s="286"/>
    </row>
    <row r="142" spans="1:12" x14ac:dyDescent="0.3">
      <c r="A142" s="1"/>
      <c r="B142" s="204"/>
      <c r="C142" s="3"/>
      <c r="D142" s="251"/>
      <c r="E142" s="251"/>
      <c r="F142" s="251"/>
      <c r="G142" s="359"/>
      <c r="H142" s="237"/>
      <c r="I142" s="286"/>
      <c r="K142" s="245"/>
      <c r="L142" s="286"/>
    </row>
    <row r="143" spans="1:12" x14ac:dyDescent="0.3">
      <c r="A143" s="1"/>
      <c r="B143" s="204" t="s">
        <v>50</v>
      </c>
      <c r="C143" s="3"/>
      <c r="D143" s="251">
        <v>3108.57</v>
      </c>
      <c r="E143" s="251">
        <v>3080.2200000000003</v>
      </c>
      <c r="F143" s="251">
        <v>2579.4799999999996</v>
      </c>
      <c r="G143" s="359"/>
      <c r="H143" s="237">
        <f>D143-E143</f>
        <v>28.349999999999909</v>
      </c>
      <c r="I143" s="286">
        <f>+H143/E143</f>
        <v>9.203888033971569E-3</v>
      </c>
      <c r="K143" s="245"/>
      <c r="L143" s="286"/>
    </row>
    <row r="144" spans="1:12" x14ac:dyDescent="0.3">
      <c r="A144" s="1"/>
      <c r="B144" s="204" t="s">
        <v>73</v>
      </c>
      <c r="C144" s="3"/>
      <c r="D144" s="251">
        <v>1989.0099999999998</v>
      </c>
      <c r="E144" s="251">
        <v>1671</v>
      </c>
      <c r="F144" s="251">
        <v>981.98</v>
      </c>
      <c r="G144" s="359"/>
      <c r="H144" s="237">
        <f>D144-E144</f>
        <v>318.00999999999976</v>
      </c>
      <c r="I144" s="286">
        <f>+H144/E144</f>
        <v>0.19031119090365037</v>
      </c>
      <c r="K144" s="245"/>
      <c r="L144" s="286"/>
    </row>
    <row r="145" spans="1:12" x14ac:dyDescent="0.3">
      <c r="A145" s="1"/>
      <c r="B145" s="204" t="s">
        <v>52</v>
      </c>
      <c r="C145" s="3"/>
      <c r="D145" s="251">
        <v>0</v>
      </c>
      <c r="E145" s="251">
        <v>0</v>
      </c>
      <c r="F145" s="251">
        <v>0</v>
      </c>
      <c r="G145" s="359"/>
      <c r="H145" s="237"/>
      <c r="I145" s="286"/>
      <c r="K145" s="245"/>
      <c r="L145" s="286"/>
    </row>
    <row r="146" spans="1:12" x14ac:dyDescent="0.3">
      <c r="A146" s="1"/>
      <c r="B146" s="204" t="s">
        <v>53</v>
      </c>
      <c r="C146" s="3"/>
      <c r="D146" s="251"/>
      <c r="E146" s="251"/>
      <c r="F146" s="251"/>
      <c r="G146" s="359"/>
      <c r="H146" s="237"/>
      <c r="I146" s="286"/>
      <c r="K146" s="245"/>
      <c r="L146" s="286"/>
    </row>
    <row r="147" spans="1:12" x14ac:dyDescent="0.3">
      <c r="A147" s="1"/>
      <c r="B147" s="226" t="s">
        <v>54</v>
      </c>
      <c r="C147" s="3"/>
      <c r="D147" s="353">
        <v>2246</v>
      </c>
      <c r="E147" s="353">
        <v>1862</v>
      </c>
      <c r="F147" s="353">
        <v>1878</v>
      </c>
      <c r="G147" s="359"/>
      <c r="H147" s="246">
        <f>D147-E147</f>
        <v>384</v>
      </c>
      <c r="I147" s="288">
        <f>+H147/E147</f>
        <v>0.20622986036519872</v>
      </c>
      <c r="K147" s="247"/>
      <c r="L147" s="288"/>
    </row>
    <row r="148" spans="1:12" ht="15" thickBot="1" x14ac:dyDescent="0.35">
      <c r="A148" s="1"/>
      <c r="B148" s="203" t="s">
        <v>101</v>
      </c>
      <c r="C148" s="4"/>
      <c r="D148" s="360">
        <f>SUM(D143:D147)</f>
        <v>7343.58</v>
      </c>
      <c r="E148" s="360">
        <f>SUM(E143:E147)</f>
        <v>6613.22</v>
      </c>
      <c r="F148" s="360">
        <f>SUM(F143:F147)</f>
        <v>5439.4599999999991</v>
      </c>
      <c r="G148" s="359"/>
      <c r="H148" s="237">
        <f>D148-E148</f>
        <v>730.35999999999967</v>
      </c>
      <c r="I148" s="286">
        <f>+H148/E148</f>
        <v>0.1104393926105588</v>
      </c>
      <c r="K148" s="245"/>
      <c r="L148" s="286"/>
    </row>
    <row r="149" spans="1:12" x14ac:dyDescent="0.3">
      <c r="A149" s="1"/>
      <c r="B149" s="227"/>
      <c r="C149" s="4"/>
      <c r="D149" s="257"/>
      <c r="E149" s="257"/>
      <c r="F149" s="257"/>
      <c r="G149" s="359"/>
      <c r="H149" s="237"/>
      <c r="I149" s="286"/>
      <c r="K149" s="245"/>
      <c r="L149" s="286"/>
    </row>
    <row r="150" spans="1:12" x14ac:dyDescent="0.3">
      <c r="A150" s="1"/>
      <c r="B150" s="203" t="s">
        <v>102</v>
      </c>
      <c r="C150" s="4"/>
      <c r="D150" s="251">
        <f>+D148+D140</f>
        <v>22335.279999999999</v>
      </c>
      <c r="E150" s="251">
        <f>+E148+E140</f>
        <v>21786.520000000004</v>
      </c>
      <c r="F150" s="251">
        <f>+F148+F140</f>
        <v>22147.46</v>
      </c>
      <c r="G150" s="359"/>
      <c r="H150" s="237">
        <f>D150-E150</f>
        <v>548.75999999999476</v>
      </c>
      <c r="I150" s="286">
        <f>+H150/E150</f>
        <v>2.518805206154974E-2</v>
      </c>
      <c r="K150" s="237" t="e">
        <f>#REF!-#REF!</f>
        <v>#REF!</v>
      </c>
      <c r="L150" s="286" t="e">
        <f>+K150/#REF!</f>
        <v>#REF!</v>
      </c>
    </row>
    <row r="151" spans="1:12" x14ac:dyDescent="0.3">
      <c r="A151" s="1"/>
      <c r="B151" s="204"/>
      <c r="C151" s="3"/>
      <c r="D151" s="251"/>
      <c r="E151" s="251"/>
      <c r="F151" s="251"/>
      <c r="G151" s="359"/>
      <c r="H151" s="246">
        <f>D151-E151</f>
        <v>0</v>
      </c>
      <c r="I151" s="288"/>
      <c r="K151" s="246" t="e">
        <f>#REF!-#REF!</f>
        <v>#REF!</v>
      </c>
      <c r="L151" s="288" t="e">
        <f>+K151/#REF!</f>
        <v>#REF!</v>
      </c>
    </row>
    <row r="152" spans="1:12" ht="15" thickBot="1" x14ac:dyDescent="0.35">
      <c r="A152" s="1"/>
      <c r="B152" s="206" t="s">
        <v>55</v>
      </c>
      <c r="C152" s="4"/>
      <c r="D152" s="283">
        <f>D150</f>
        <v>22335.279999999999</v>
      </c>
      <c r="E152" s="283">
        <f>E150</f>
        <v>21786.520000000004</v>
      </c>
      <c r="F152" s="283">
        <f>F150</f>
        <v>22147.46</v>
      </c>
      <c r="H152" s="241">
        <f>D152-E152</f>
        <v>548.75999999999476</v>
      </c>
      <c r="I152" s="292">
        <f>+H152/E152</f>
        <v>2.518805206154974E-2</v>
      </c>
      <c r="K152" s="241" t="e">
        <f>#REF!-#REF!</f>
        <v>#REF!</v>
      </c>
      <c r="L152" s="292" t="e">
        <f>+K152/#REF!</f>
        <v>#REF!</v>
      </c>
    </row>
    <row r="153" spans="1:12" ht="15" thickBot="1" x14ac:dyDescent="0.35">
      <c r="A153" s="1"/>
      <c r="B153" s="48"/>
      <c r="C153" s="49"/>
      <c r="D153" s="57"/>
      <c r="E153" s="57"/>
      <c r="F153" s="57"/>
      <c r="H153" s="57"/>
      <c r="I153" s="232"/>
      <c r="K153" s="57"/>
      <c r="L153" s="232"/>
    </row>
    <row r="154" spans="1:12" ht="15" thickBot="1" x14ac:dyDescent="0.35">
      <c r="A154" s="1"/>
      <c r="B154" s="208" t="s">
        <v>56</v>
      </c>
      <c r="C154" s="4"/>
      <c r="D154" s="9"/>
      <c r="E154" s="9"/>
      <c r="F154" s="9"/>
      <c r="H154" s="9"/>
      <c r="I154" s="296"/>
      <c r="K154" s="9"/>
      <c r="L154" s="296"/>
    </row>
    <row r="155" spans="1:12" x14ac:dyDescent="0.3">
      <c r="A155" s="1"/>
      <c r="B155" s="211" t="s">
        <v>103</v>
      </c>
      <c r="C155" s="3"/>
      <c r="D155" s="257">
        <v>1800</v>
      </c>
      <c r="E155" s="257">
        <v>1800</v>
      </c>
      <c r="F155" s="257">
        <v>1500</v>
      </c>
      <c r="H155" s="236">
        <f>D155-E155</f>
        <v>0</v>
      </c>
      <c r="I155" s="305">
        <f>+H155/E155</f>
        <v>0</v>
      </c>
      <c r="K155" s="236" t="e">
        <f>#REF!-#REF!</f>
        <v>#REF!</v>
      </c>
      <c r="L155" s="305"/>
    </row>
    <row r="156" spans="1:12" x14ac:dyDescent="0.3">
      <c r="A156" s="1"/>
      <c r="B156" s="204" t="s">
        <v>104</v>
      </c>
      <c r="C156" s="3"/>
      <c r="D156" s="251"/>
      <c r="E156" s="251"/>
      <c r="F156" s="251"/>
      <c r="H156" s="237">
        <f>D156-E156</f>
        <v>0</v>
      </c>
      <c r="I156" s="286"/>
      <c r="K156" s="237" t="e">
        <f>#REF!-#REF!</f>
        <v>#REF!</v>
      </c>
      <c r="L156" s="286"/>
    </row>
    <row r="157" spans="1:12" x14ac:dyDescent="0.3">
      <c r="A157" s="1"/>
      <c r="B157" s="204" t="s">
        <v>94</v>
      </c>
      <c r="C157" s="3"/>
      <c r="D157" s="251"/>
      <c r="E157" s="251">
        <v>0</v>
      </c>
      <c r="F157" s="251"/>
      <c r="H157" s="246">
        <f>D157-E157</f>
        <v>0</v>
      </c>
      <c r="I157" s="288">
        <v>0</v>
      </c>
      <c r="K157" s="246" t="e">
        <f>#REF!-#REF!</f>
        <v>#REF!</v>
      </c>
      <c r="L157" s="288" t="e">
        <f>+K157/#REF!</f>
        <v>#REF!</v>
      </c>
    </row>
    <row r="158" spans="1:12" ht="15" thickBot="1" x14ac:dyDescent="0.35">
      <c r="A158" s="1"/>
      <c r="B158" s="206" t="s">
        <v>67</v>
      </c>
      <c r="C158" s="4"/>
      <c r="D158" s="283">
        <f>SUM(D155:D157)</f>
        <v>1800</v>
      </c>
      <c r="E158" s="283">
        <f>SUM(E155:E157)</f>
        <v>1800</v>
      </c>
      <c r="F158" s="283">
        <f>SUM(F155:F157)</f>
        <v>1500</v>
      </c>
      <c r="H158" s="242">
        <f>D158-E158</f>
        <v>0</v>
      </c>
      <c r="I158" s="306">
        <f>+H158/E158</f>
        <v>0</v>
      </c>
      <c r="K158" s="242" t="e">
        <f>#REF!-#REF!</f>
        <v>#REF!</v>
      </c>
      <c r="L158" s="306" t="e">
        <f>+K158/#REF!</f>
        <v>#REF!</v>
      </c>
    </row>
    <row r="159" spans="1:12" ht="15" thickBot="1" x14ac:dyDescent="0.35">
      <c r="A159" s="1"/>
      <c r="B159" s="48"/>
      <c r="C159" s="49"/>
      <c r="D159" s="76"/>
      <c r="E159" s="76"/>
      <c r="F159" s="76"/>
      <c r="H159" s="76"/>
      <c r="I159" s="232"/>
      <c r="K159" s="76"/>
      <c r="L159" s="232"/>
    </row>
    <row r="160" spans="1:12" ht="15" thickBot="1" x14ac:dyDescent="0.35">
      <c r="A160" s="1"/>
      <c r="B160" s="208" t="s">
        <v>68</v>
      </c>
      <c r="C160" s="4"/>
      <c r="D160" s="9"/>
      <c r="E160" s="9"/>
      <c r="F160" s="9"/>
      <c r="H160" s="9"/>
      <c r="I160" s="296"/>
      <c r="K160" s="9"/>
      <c r="L160" s="296"/>
    </row>
    <row r="161" spans="1:12" ht="15" thickBot="1" x14ac:dyDescent="0.35">
      <c r="A161" s="1"/>
      <c r="B161" s="220" t="s">
        <v>69</v>
      </c>
      <c r="C161" s="4"/>
      <c r="D161" s="354">
        <f>D152+D158</f>
        <v>24135.279999999999</v>
      </c>
      <c r="E161" s="354">
        <f>E152+E158</f>
        <v>23586.520000000004</v>
      </c>
      <c r="F161" s="354">
        <f>F152+F158</f>
        <v>23647.46</v>
      </c>
      <c r="H161" s="244">
        <f>D161-E161</f>
        <v>548.75999999999476</v>
      </c>
      <c r="I161" s="307">
        <f>+H161/E161</f>
        <v>2.3265831500365236E-2</v>
      </c>
      <c r="K161" s="244" t="e">
        <f>#REF!-#REF!</f>
        <v>#REF!</v>
      </c>
      <c r="L161" s="307" t="e">
        <f>+K161/#REF!</f>
        <v>#REF!</v>
      </c>
    </row>
    <row r="162" spans="1:12" x14ac:dyDescent="0.3">
      <c r="A162" s="1"/>
      <c r="B162" s="2"/>
      <c r="C162" s="4"/>
      <c r="D162" s="100"/>
      <c r="E162" s="100"/>
      <c r="F162" s="100"/>
      <c r="H162" s="100"/>
      <c r="I162" s="233"/>
      <c r="K162" s="100"/>
      <c r="L162" s="233"/>
    </row>
    <row r="163" spans="1:12" ht="15" thickBot="1" x14ac:dyDescent="0.35">
      <c r="A163" s="1"/>
      <c r="B163" s="48"/>
      <c r="C163" s="49"/>
      <c r="D163" s="76"/>
      <c r="E163" s="76"/>
      <c r="F163" s="76"/>
      <c r="H163" s="76"/>
      <c r="I163" s="232"/>
      <c r="K163" s="76"/>
      <c r="L163" s="232"/>
    </row>
    <row r="164" spans="1:12" ht="15" thickBot="1" x14ac:dyDescent="0.35">
      <c r="A164" s="1"/>
      <c r="B164" s="208" t="s">
        <v>105</v>
      </c>
      <c r="C164" s="4"/>
      <c r="D164" s="101"/>
      <c r="E164" s="101"/>
      <c r="F164" s="101"/>
      <c r="H164" s="101"/>
      <c r="I164" s="297"/>
      <c r="K164" s="101"/>
      <c r="L164" s="297"/>
    </row>
    <row r="165" spans="1:12" ht="15" thickBot="1" x14ac:dyDescent="0.35">
      <c r="A165" s="1"/>
      <c r="B165" s="48"/>
      <c r="C165" s="49"/>
      <c r="D165" s="103"/>
      <c r="E165" s="103"/>
      <c r="F165" s="103"/>
      <c r="H165" s="103"/>
      <c r="I165" s="295"/>
      <c r="K165" s="103"/>
      <c r="L165" s="295"/>
    </row>
    <row r="166" spans="1:12" ht="15" thickBot="1" x14ac:dyDescent="0.35">
      <c r="A166" s="1"/>
      <c r="B166" s="209" t="s">
        <v>56</v>
      </c>
      <c r="C166" s="4"/>
      <c r="D166" s="351" t="str">
        <f>D3</f>
        <v>ACTUAL 2025 - Q1</v>
      </c>
      <c r="E166" s="351" t="str">
        <f>E3</f>
        <v>BUDGET 2025 - Q1</v>
      </c>
      <c r="F166" s="351" t="str">
        <f>F3</f>
        <v>ACTUAL 2024 - Q1</v>
      </c>
      <c r="H166" s="235" t="str">
        <f>+H$3</f>
        <v xml:space="preserve"> Q1 2025 vs B 2025</v>
      </c>
      <c r="I166" s="311" t="str">
        <f>+I$3</f>
        <v>%</v>
      </c>
      <c r="K166" s="235" t="str">
        <f>+K$3</f>
        <v>Act 2021 vs Bud 2021</v>
      </c>
      <c r="L166" s="311" t="str">
        <f>+L$3</f>
        <v>%</v>
      </c>
    </row>
    <row r="167" spans="1:12" x14ac:dyDescent="0.3">
      <c r="A167" s="1"/>
      <c r="B167" s="204" t="s">
        <v>106</v>
      </c>
      <c r="C167" s="3"/>
      <c r="D167" s="251">
        <v>61765.66</v>
      </c>
      <c r="E167" s="251">
        <v>65546</v>
      </c>
      <c r="F167" s="251">
        <v>68646.3</v>
      </c>
      <c r="H167" s="237">
        <f>D167-E167</f>
        <v>-3780.3399999999965</v>
      </c>
      <c r="I167" s="286">
        <f>+H167/E167</f>
        <v>-5.7674610197418555E-2</v>
      </c>
      <c r="K167" s="237" t="e">
        <f>#REF!-#REF!</f>
        <v>#REF!</v>
      </c>
      <c r="L167" s="286" t="e">
        <f>+K167/#REF!</f>
        <v>#REF!</v>
      </c>
    </row>
    <row r="168" spans="1:12" x14ac:dyDescent="0.3">
      <c r="A168" s="1"/>
      <c r="B168" s="204" t="s">
        <v>107</v>
      </c>
      <c r="C168" s="3"/>
      <c r="D168" s="251">
        <v>25333.06</v>
      </c>
      <c r="E168" s="251">
        <v>27575</v>
      </c>
      <c r="F168" s="251">
        <v>17338.78</v>
      </c>
      <c r="H168" s="237">
        <f>D168-E168</f>
        <v>-2241.9399999999987</v>
      </c>
      <c r="I168" s="286">
        <f>+H168/E168</f>
        <v>-8.1303354487760604E-2</v>
      </c>
      <c r="K168" s="237" t="e">
        <f>#REF!-#REF!</f>
        <v>#REF!</v>
      </c>
      <c r="L168" s="286" t="e">
        <f>+K168/#REF!</f>
        <v>#REF!</v>
      </c>
    </row>
    <row r="169" spans="1:12" x14ac:dyDescent="0.3">
      <c r="A169" s="1"/>
      <c r="B169" s="204" t="s">
        <v>108</v>
      </c>
      <c r="C169" s="3"/>
      <c r="D169" s="251">
        <v>32184.340000000004</v>
      </c>
      <c r="E169" s="251">
        <v>30509</v>
      </c>
      <c r="F169" s="251">
        <v>29893.410000000003</v>
      </c>
      <c r="H169" s="246">
        <f>D169-E169</f>
        <v>1675.3400000000038</v>
      </c>
      <c r="I169" s="288">
        <f>+H169/E169</f>
        <v>5.4912976498738199E-2</v>
      </c>
      <c r="K169" s="246" t="e">
        <f>#REF!-#REF!</f>
        <v>#REF!</v>
      </c>
      <c r="L169" s="288" t="e">
        <f>+K169/#REF!</f>
        <v>#REF!</v>
      </c>
    </row>
    <row r="170" spans="1:12" ht="15" thickBot="1" x14ac:dyDescent="0.35">
      <c r="A170" s="1"/>
      <c r="B170" s="206" t="s">
        <v>67</v>
      </c>
      <c r="C170" s="4"/>
      <c r="D170" s="283">
        <f>SUM(D167:D169)</f>
        <v>119283.06</v>
      </c>
      <c r="E170" s="283">
        <f>SUM(E167:E169)</f>
        <v>123630</v>
      </c>
      <c r="F170" s="283">
        <f>SUM(F167:F169)</f>
        <v>115878.49</v>
      </c>
      <c r="H170" s="241">
        <f>D170-E170</f>
        <v>-4346.9400000000023</v>
      </c>
      <c r="I170" s="292">
        <f>+H170/E170</f>
        <v>-3.5160883280757116E-2</v>
      </c>
      <c r="K170" s="241" t="e">
        <f>#REF!-#REF!</f>
        <v>#REF!</v>
      </c>
      <c r="L170" s="292" t="e">
        <f>+K170/#REF!</f>
        <v>#REF!</v>
      </c>
    </row>
    <row r="171" spans="1:12" x14ac:dyDescent="0.3">
      <c r="A171" s="1"/>
      <c r="B171" s="48"/>
      <c r="C171" s="49"/>
      <c r="D171" s="76"/>
      <c r="E171" s="76"/>
      <c r="F171" s="76"/>
      <c r="H171" s="76"/>
      <c r="I171" s="232"/>
      <c r="K171" s="76"/>
      <c r="L171" s="232"/>
    </row>
  </sheetData>
  <pageMargins left="0.11811023622047245" right="0.11811023622047245" top="0.15748031496062992" bottom="0.35433070866141736" header="0.31496062992125984" footer="0.31496062992125984"/>
  <pageSetup scale="85" orientation="portrait" r:id="rId1"/>
  <rowBreaks count="3" manualBreakCount="3">
    <brk id="52" max="16383" man="1"/>
    <brk id="108" max="16383" man="1"/>
    <brk id="16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62CDE-B8E3-44A3-903D-FCF8E43B33DB}">
  <sheetPr>
    <tabColor rgb="FFFF0000"/>
    <pageSetUpPr fitToPage="1"/>
  </sheetPr>
  <dimension ref="B2:F45"/>
  <sheetViews>
    <sheetView workbookViewId="0">
      <pane ySplit="6" topLeftCell="A7" activePane="bottomLeft" state="frozen"/>
      <selection pane="bottomLeft" activeCell="F8" sqref="F8"/>
    </sheetView>
  </sheetViews>
  <sheetFormatPr defaultRowHeight="14.4" x14ac:dyDescent="0.3"/>
  <cols>
    <col min="2" max="2" width="51.6640625" customWidth="1"/>
    <col min="3" max="4" width="11.6640625" customWidth="1"/>
    <col min="5" max="5" width="9.44140625" customWidth="1"/>
    <col min="6" max="6" width="111.88671875" customWidth="1"/>
  </cols>
  <sheetData>
    <row r="2" spans="2:6" x14ac:dyDescent="0.3">
      <c r="B2" s="518" t="s">
        <v>639</v>
      </c>
    </row>
    <row r="3" spans="2:6" x14ac:dyDescent="0.3">
      <c r="B3" s="518" t="s">
        <v>440</v>
      </c>
    </row>
    <row r="4" spans="2:6" x14ac:dyDescent="0.3">
      <c r="C4" s="519" t="s">
        <v>441</v>
      </c>
      <c r="D4" s="519" t="s">
        <v>442</v>
      </c>
    </row>
    <row r="5" spans="2:6" x14ac:dyDescent="0.3">
      <c r="C5" s="519" t="s">
        <v>443</v>
      </c>
      <c r="D5" s="519" t="s">
        <v>443</v>
      </c>
    </row>
    <row r="6" spans="2:6" ht="15" thickBot="1" x14ac:dyDescent="0.35">
      <c r="B6" s="520" t="s">
        <v>444</v>
      </c>
      <c r="C6" s="521" t="s">
        <v>445</v>
      </c>
      <c r="D6" s="521" t="s">
        <v>445</v>
      </c>
      <c r="F6" s="528"/>
    </row>
    <row r="7" spans="2:6" s="753" customFormat="1" x14ac:dyDescent="0.3">
      <c r="B7" s="753" t="s">
        <v>446</v>
      </c>
      <c r="C7" s="754"/>
      <c r="D7" s="754">
        <v>-47876</v>
      </c>
      <c r="F7" s="755"/>
    </row>
    <row r="8" spans="2:6" s="753" customFormat="1" ht="48" customHeight="1" x14ac:dyDescent="0.3">
      <c r="B8" s="753" t="s">
        <v>38</v>
      </c>
      <c r="C8" s="754"/>
      <c r="D8" s="754">
        <f>-64800-771</f>
        <v>-65571</v>
      </c>
      <c r="F8" s="755" t="s">
        <v>666</v>
      </c>
    </row>
    <row r="9" spans="2:6" s="753" customFormat="1" ht="25.05" customHeight="1" x14ac:dyDescent="0.3">
      <c r="B9" s="753" t="s">
        <v>448</v>
      </c>
      <c r="C9" s="754"/>
      <c r="D9" s="754">
        <f>-5370-753</f>
        <v>-6123</v>
      </c>
      <c r="F9" s="755"/>
    </row>
    <row r="10" spans="2:6" x14ac:dyDescent="0.3">
      <c r="B10" t="s">
        <v>447</v>
      </c>
      <c r="D10" s="371">
        <f>-972-5005+1330</f>
        <v>-4647</v>
      </c>
      <c r="F10" s="528"/>
    </row>
    <row r="11" spans="2:6" x14ac:dyDescent="0.3">
      <c r="C11" s="371"/>
      <c r="D11" s="371"/>
    </row>
    <row r="12" spans="2:6" x14ac:dyDescent="0.3">
      <c r="B12" s="362" t="s">
        <v>449</v>
      </c>
      <c r="C12" s="522">
        <f>SUM(C7:C10)</f>
        <v>0</v>
      </c>
      <c r="D12" s="522">
        <f>SUM(D7:D10)</f>
        <v>-124217</v>
      </c>
    </row>
    <row r="13" spans="2:6" x14ac:dyDescent="0.3">
      <c r="C13" s="371">
        <f>D12+C12</f>
        <v>-124217</v>
      </c>
    </row>
    <row r="14" spans="2:6" x14ac:dyDescent="0.3">
      <c r="C14" s="371"/>
      <c r="D14" s="371"/>
    </row>
    <row r="15" spans="2:6" ht="15" thickBot="1" x14ac:dyDescent="0.35">
      <c r="B15" s="520" t="s">
        <v>450</v>
      </c>
      <c r="C15" s="521"/>
      <c r="D15" s="521"/>
    </row>
    <row r="16" spans="2:6" x14ac:dyDescent="0.3">
      <c r="B16" s="518"/>
      <c r="C16" s="519"/>
      <c r="D16" s="519"/>
      <c r="F16" s="756" t="s">
        <v>647</v>
      </c>
    </row>
    <row r="17" spans="2:6" x14ac:dyDescent="0.3">
      <c r="B17" t="s">
        <v>463</v>
      </c>
      <c r="C17" s="751">
        <v>-54224</v>
      </c>
      <c r="D17" s="751"/>
      <c r="F17" s="756" t="s">
        <v>648</v>
      </c>
    </row>
    <row r="18" spans="2:6" ht="13.95" customHeight="1" x14ac:dyDescent="0.3">
      <c r="B18" t="s">
        <v>454</v>
      </c>
      <c r="C18" s="751">
        <v>-9469</v>
      </c>
      <c r="D18" s="751"/>
      <c r="F18" s="371"/>
    </row>
    <row r="19" spans="2:6" x14ac:dyDescent="0.3">
      <c r="B19" t="s">
        <v>451</v>
      </c>
      <c r="C19" s="751">
        <f>-5863-3267</f>
        <v>-9130</v>
      </c>
      <c r="D19" s="751"/>
      <c r="F19" s="529"/>
    </row>
    <row r="20" spans="2:6" x14ac:dyDescent="0.3">
      <c r="B20" t="s">
        <v>452</v>
      </c>
      <c r="C20" s="751">
        <f>-7136/2-1012</f>
        <v>-4580</v>
      </c>
      <c r="D20" s="751"/>
      <c r="F20" s="371"/>
    </row>
    <row r="21" spans="2:6" x14ac:dyDescent="0.3">
      <c r="B21" t="s">
        <v>453</v>
      </c>
      <c r="C21" s="751">
        <f>-3886</f>
        <v>-3886</v>
      </c>
      <c r="D21" s="751"/>
      <c r="F21" s="529"/>
    </row>
    <row r="22" spans="2:6" x14ac:dyDescent="0.3">
      <c r="B22" t="s">
        <v>457</v>
      </c>
      <c r="C22" s="751">
        <f>-3780</f>
        <v>-3780</v>
      </c>
      <c r="D22" s="751"/>
    </row>
    <row r="23" spans="2:6" x14ac:dyDescent="0.3">
      <c r="B23" t="s">
        <v>107</v>
      </c>
      <c r="C23" s="751">
        <f>-2242</f>
        <v>-2242</v>
      </c>
      <c r="D23" s="751"/>
      <c r="E23" s="524"/>
    </row>
    <row r="24" spans="2:6" x14ac:dyDescent="0.3">
      <c r="B24" t="s">
        <v>641</v>
      </c>
      <c r="C24" s="751">
        <f>-2862/2</f>
        <v>-1431</v>
      </c>
      <c r="D24" s="751"/>
      <c r="F24" s="371"/>
    </row>
    <row r="25" spans="2:6" x14ac:dyDescent="0.3">
      <c r="B25" t="s">
        <v>645</v>
      </c>
      <c r="C25" s="751">
        <v>-1064</v>
      </c>
      <c r="D25" s="751"/>
      <c r="F25" s="371"/>
    </row>
    <row r="26" spans="2:6" x14ac:dyDescent="0.3">
      <c r="B26" t="s">
        <v>644</v>
      </c>
      <c r="C26" s="751">
        <v>-600</v>
      </c>
      <c r="D26" s="751"/>
      <c r="F26" s="371"/>
    </row>
    <row r="27" spans="2:6" x14ac:dyDescent="0.3">
      <c r="B27" t="s">
        <v>458</v>
      </c>
      <c r="C27" s="751"/>
      <c r="D27" s="751">
        <v>4990</v>
      </c>
    </row>
    <row r="28" spans="2:6" x14ac:dyDescent="0.3">
      <c r="B28" t="s">
        <v>456</v>
      </c>
      <c r="C28" s="751"/>
      <c r="D28" s="751">
        <f>158-928+1849-2-1</f>
        <v>1076</v>
      </c>
      <c r="F28" s="528"/>
    </row>
    <row r="29" spans="2:6" ht="20.399999999999999" customHeight="1" x14ac:dyDescent="0.3">
      <c r="B29" t="s">
        <v>653</v>
      </c>
      <c r="C29" s="751"/>
      <c r="D29" s="751">
        <f>1675</f>
        <v>1675</v>
      </c>
      <c r="F29" s="528"/>
    </row>
    <row r="30" spans="2:6" x14ac:dyDescent="0.3">
      <c r="B30" t="s">
        <v>642</v>
      </c>
      <c r="C30" s="751"/>
      <c r="D30" s="751">
        <v>549</v>
      </c>
      <c r="F30" s="371"/>
    </row>
    <row r="31" spans="2:6" x14ac:dyDescent="0.3">
      <c r="D31" s="371"/>
      <c r="F31" s="371"/>
    </row>
    <row r="32" spans="2:6" x14ac:dyDescent="0.3">
      <c r="C32" s="371"/>
      <c r="D32" s="371"/>
    </row>
    <row r="33" spans="2:6" x14ac:dyDescent="0.3">
      <c r="B33" s="362" t="s">
        <v>459</v>
      </c>
      <c r="C33" s="522">
        <f>SUM(C17:C26)</f>
        <v>-90406</v>
      </c>
      <c r="D33" s="522">
        <f>SUM(D21:D30)</f>
        <v>8290</v>
      </c>
      <c r="F33" s="371"/>
    </row>
    <row r="34" spans="2:6" x14ac:dyDescent="0.3">
      <c r="D34" s="371">
        <f>C33+D33</f>
        <v>-82116</v>
      </c>
    </row>
    <row r="35" spans="2:6" x14ac:dyDescent="0.3">
      <c r="C35" s="371"/>
      <c r="D35" s="371"/>
    </row>
    <row r="36" spans="2:6" x14ac:dyDescent="0.3">
      <c r="B36" s="362" t="s">
        <v>460</v>
      </c>
      <c r="C36" s="522">
        <f>C13-D34</f>
        <v>-42101</v>
      </c>
      <c r="D36" s="522"/>
      <c r="F36" s="371"/>
    </row>
    <row r="37" spans="2:6" x14ac:dyDescent="0.3">
      <c r="C37" s="371"/>
      <c r="D37" s="371"/>
    </row>
    <row r="38" spans="2:6" x14ac:dyDescent="0.3">
      <c r="C38" s="371"/>
      <c r="D38" s="371"/>
    </row>
    <row r="39" spans="2:6" x14ac:dyDescent="0.3">
      <c r="C39" s="371"/>
      <c r="D39" s="371"/>
    </row>
    <row r="40" spans="2:6" x14ac:dyDescent="0.3">
      <c r="B40" t="s">
        <v>649</v>
      </c>
      <c r="C40" s="371"/>
      <c r="D40" s="371"/>
    </row>
    <row r="41" spans="2:6" x14ac:dyDescent="0.3">
      <c r="B41" t="s">
        <v>650</v>
      </c>
      <c r="C41" s="371"/>
      <c r="D41" s="371"/>
    </row>
    <row r="42" spans="2:6" x14ac:dyDescent="0.3">
      <c r="B42" t="s">
        <v>652</v>
      </c>
    </row>
    <row r="44" spans="2:6" x14ac:dyDescent="0.3">
      <c r="B44" s="518" t="s">
        <v>654</v>
      </c>
    </row>
    <row r="45" spans="2:6" x14ac:dyDescent="0.3">
      <c r="B45" s="518" t="s">
        <v>655</v>
      </c>
    </row>
  </sheetData>
  <sortState xmlns:xlrd2="http://schemas.microsoft.com/office/spreadsheetml/2017/richdata2" ref="B24:D31">
    <sortCondition descending="1" ref="D24:D31"/>
  </sortState>
  <pageMargins left="0.7" right="0.7" top="0.75" bottom="0.75" header="0.3" footer="0.3"/>
  <pageSetup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6D922-EA22-435C-A702-7F49C57A93C3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4B9EC-5B08-4809-BF7A-FF42810C8990}">
  <dimension ref="A1:N65"/>
  <sheetViews>
    <sheetView topLeftCell="A22" zoomScale="110" zoomScaleNormal="110" workbookViewId="0">
      <selection activeCell="F51" sqref="F51"/>
    </sheetView>
  </sheetViews>
  <sheetFormatPr defaultColWidth="9.109375" defaultRowHeight="14.4" x14ac:dyDescent="0.25"/>
  <cols>
    <col min="1" max="1" width="12.6640625" style="312" customWidth="1"/>
    <col min="2" max="2" width="43.44140625" style="312" customWidth="1"/>
    <col min="3" max="3" width="14.6640625" style="312" hidden="1" customWidth="1"/>
    <col min="4" max="4" width="16.33203125" style="312" hidden="1" customWidth="1"/>
    <col min="5" max="5" width="19.44140625" style="312" hidden="1" customWidth="1"/>
    <col min="6" max="7" width="14.6640625" style="405" customWidth="1"/>
    <col min="8" max="8" width="19" style="313" customWidth="1"/>
    <col min="9" max="9" width="15.5546875" style="313" customWidth="1"/>
    <col min="10" max="10" width="35.6640625" style="313" customWidth="1"/>
    <col min="11" max="256" width="9.109375" style="313"/>
    <col min="257" max="257" width="12.6640625" style="313" customWidth="1"/>
    <col min="258" max="258" width="43.44140625" style="313" customWidth="1"/>
    <col min="259" max="261" width="0" style="313" hidden="1" customWidth="1"/>
    <col min="262" max="263" width="14.6640625" style="313" customWidth="1"/>
    <col min="264" max="264" width="19" style="313" customWidth="1"/>
    <col min="265" max="265" width="15.5546875" style="313" customWidth="1"/>
    <col min="266" max="266" width="35.6640625" style="313" customWidth="1"/>
    <col min="267" max="512" width="9.109375" style="313"/>
    <col min="513" max="513" width="12.6640625" style="313" customWidth="1"/>
    <col min="514" max="514" width="43.44140625" style="313" customWidth="1"/>
    <col min="515" max="517" width="0" style="313" hidden="1" customWidth="1"/>
    <col min="518" max="519" width="14.6640625" style="313" customWidth="1"/>
    <col min="520" max="520" width="19" style="313" customWidth="1"/>
    <col min="521" max="521" width="15.5546875" style="313" customWidth="1"/>
    <col min="522" max="522" width="35.6640625" style="313" customWidth="1"/>
    <col min="523" max="768" width="9.109375" style="313"/>
    <col min="769" max="769" width="12.6640625" style="313" customWidth="1"/>
    <col min="770" max="770" width="43.44140625" style="313" customWidth="1"/>
    <col min="771" max="773" width="0" style="313" hidden="1" customWidth="1"/>
    <col min="774" max="775" width="14.6640625" style="313" customWidth="1"/>
    <col min="776" max="776" width="19" style="313" customWidth="1"/>
    <col min="777" max="777" width="15.5546875" style="313" customWidth="1"/>
    <col min="778" max="778" width="35.6640625" style="313" customWidth="1"/>
    <col min="779" max="1024" width="9.109375" style="313"/>
    <col min="1025" max="1025" width="12.6640625" style="313" customWidth="1"/>
    <col min="1026" max="1026" width="43.44140625" style="313" customWidth="1"/>
    <col min="1027" max="1029" width="0" style="313" hidden="1" customWidth="1"/>
    <col min="1030" max="1031" width="14.6640625" style="313" customWidth="1"/>
    <col min="1032" max="1032" width="19" style="313" customWidth="1"/>
    <col min="1033" max="1033" width="15.5546875" style="313" customWidth="1"/>
    <col min="1034" max="1034" width="35.6640625" style="313" customWidth="1"/>
    <col min="1035" max="1280" width="9.109375" style="313"/>
    <col min="1281" max="1281" width="12.6640625" style="313" customWidth="1"/>
    <col min="1282" max="1282" width="43.44140625" style="313" customWidth="1"/>
    <col min="1283" max="1285" width="0" style="313" hidden="1" customWidth="1"/>
    <col min="1286" max="1287" width="14.6640625" style="313" customWidth="1"/>
    <col min="1288" max="1288" width="19" style="313" customWidth="1"/>
    <col min="1289" max="1289" width="15.5546875" style="313" customWidth="1"/>
    <col min="1290" max="1290" width="35.6640625" style="313" customWidth="1"/>
    <col min="1291" max="1536" width="9.109375" style="313"/>
    <col min="1537" max="1537" width="12.6640625" style="313" customWidth="1"/>
    <col min="1538" max="1538" width="43.44140625" style="313" customWidth="1"/>
    <col min="1539" max="1541" width="0" style="313" hidden="1" customWidth="1"/>
    <col min="1542" max="1543" width="14.6640625" style="313" customWidth="1"/>
    <col min="1544" max="1544" width="19" style="313" customWidth="1"/>
    <col min="1545" max="1545" width="15.5546875" style="313" customWidth="1"/>
    <col min="1546" max="1546" width="35.6640625" style="313" customWidth="1"/>
    <col min="1547" max="1792" width="9.109375" style="313"/>
    <col min="1793" max="1793" width="12.6640625" style="313" customWidth="1"/>
    <col min="1794" max="1794" width="43.44140625" style="313" customWidth="1"/>
    <col min="1795" max="1797" width="0" style="313" hidden="1" customWidth="1"/>
    <col min="1798" max="1799" width="14.6640625" style="313" customWidth="1"/>
    <col min="1800" max="1800" width="19" style="313" customWidth="1"/>
    <col min="1801" max="1801" width="15.5546875" style="313" customWidth="1"/>
    <col min="1802" max="1802" width="35.6640625" style="313" customWidth="1"/>
    <col min="1803" max="2048" width="9.109375" style="313"/>
    <col min="2049" max="2049" width="12.6640625" style="313" customWidth="1"/>
    <col min="2050" max="2050" width="43.44140625" style="313" customWidth="1"/>
    <col min="2051" max="2053" width="0" style="313" hidden="1" customWidth="1"/>
    <col min="2054" max="2055" width="14.6640625" style="313" customWidth="1"/>
    <col min="2056" max="2056" width="19" style="313" customWidth="1"/>
    <col min="2057" max="2057" width="15.5546875" style="313" customWidth="1"/>
    <col min="2058" max="2058" width="35.6640625" style="313" customWidth="1"/>
    <col min="2059" max="2304" width="9.109375" style="313"/>
    <col min="2305" max="2305" width="12.6640625" style="313" customWidth="1"/>
    <col min="2306" max="2306" width="43.44140625" style="313" customWidth="1"/>
    <col min="2307" max="2309" width="0" style="313" hidden="1" customWidth="1"/>
    <col min="2310" max="2311" width="14.6640625" style="313" customWidth="1"/>
    <col min="2312" max="2312" width="19" style="313" customWidth="1"/>
    <col min="2313" max="2313" width="15.5546875" style="313" customWidth="1"/>
    <col min="2314" max="2314" width="35.6640625" style="313" customWidth="1"/>
    <col min="2315" max="2560" width="9.109375" style="313"/>
    <col min="2561" max="2561" width="12.6640625" style="313" customWidth="1"/>
    <col min="2562" max="2562" width="43.44140625" style="313" customWidth="1"/>
    <col min="2563" max="2565" width="0" style="313" hidden="1" customWidth="1"/>
    <col min="2566" max="2567" width="14.6640625" style="313" customWidth="1"/>
    <col min="2568" max="2568" width="19" style="313" customWidth="1"/>
    <col min="2569" max="2569" width="15.5546875" style="313" customWidth="1"/>
    <col min="2570" max="2570" width="35.6640625" style="313" customWidth="1"/>
    <col min="2571" max="2816" width="9.109375" style="313"/>
    <col min="2817" max="2817" width="12.6640625" style="313" customWidth="1"/>
    <col min="2818" max="2818" width="43.44140625" style="313" customWidth="1"/>
    <col min="2819" max="2821" width="0" style="313" hidden="1" customWidth="1"/>
    <col min="2822" max="2823" width="14.6640625" style="313" customWidth="1"/>
    <col min="2824" max="2824" width="19" style="313" customWidth="1"/>
    <col min="2825" max="2825" width="15.5546875" style="313" customWidth="1"/>
    <col min="2826" max="2826" width="35.6640625" style="313" customWidth="1"/>
    <col min="2827" max="3072" width="9.109375" style="313"/>
    <col min="3073" max="3073" width="12.6640625" style="313" customWidth="1"/>
    <col min="3074" max="3074" width="43.44140625" style="313" customWidth="1"/>
    <col min="3075" max="3077" width="0" style="313" hidden="1" customWidth="1"/>
    <col min="3078" max="3079" width="14.6640625" style="313" customWidth="1"/>
    <col min="3080" max="3080" width="19" style="313" customWidth="1"/>
    <col min="3081" max="3081" width="15.5546875" style="313" customWidth="1"/>
    <col min="3082" max="3082" width="35.6640625" style="313" customWidth="1"/>
    <col min="3083" max="3328" width="9.109375" style="313"/>
    <col min="3329" max="3329" width="12.6640625" style="313" customWidth="1"/>
    <col min="3330" max="3330" width="43.44140625" style="313" customWidth="1"/>
    <col min="3331" max="3333" width="0" style="313" hidden="1" customWidth="1"/>
    <col min="3334" max="3335" width="14.6640625" style="313" customWidth="1"/>
    <col min="3336" max="3336" width="19" style="313" customWidth="1"/>
    <col min="3337" max="3337" width="15.5546875" style="313" customWidth="1"/>
    <col min="3338" max="3338" width="35.6640625" style="313" customWidth="1"/>
    <col min="3339" max="3584" width="9.109375" style="313"/>
    <col min="3585" max="3585" width="12.6640625" style="313" customWidth="1"/>
    <col min="3586" max="3586" width="43.44140625" style="313" customWidth="1"/>
    <col min="3587" max="3589" width="0" style="313" hidden="1" customWidth="1"/>
    <col min="3590" max="3591" width="14.6640625" style="313" customWidth="1"/>
    <col min="3592" max="3592" width="19" style="313" customWidth="1"/>
    <col min="3593" max="3593" width="15.5546875" style="313" customWidth="1"/>
    <col min="3594" max="3594" width="35.6640625" style="313" customWidth="1"/>
    <col min="3595" max="3840" width="9.109375" style="313"/>
    <col min="3841" max="3841" width="12.6640625" style="313" customWidth="1"/>
    <col min="3842" max="3842" width="43.44140625" style="313" customWidth="1"/>
    <col min="3843" max="3845" width="0" style="313" hidden="1" customWidth="1"/>
    <col min="3846" max="3847" width="14.6640625" style="313" customWidth="1"/>
    <col min="3848" max="3848" width="19" style="313" customWidth="1"/>
    <col min="3849" max="3849" width="15.5546875" style="313" customWidth="1"/>
    <col min="3850" max="3850" width="35.6640625" style="313" customWidth="1"/>
    <col min="3851" max="4096" width="9.109375" style="313"/>
    <col min="4097" max="4097" width="12.6640625" style="313" customWidth="1"/>
    <col min="4098" max="4098" width="43.44140625" style="313" customWidth="1"/>
    <col min="4099" max="4101" width="0" style="313" hidden="1" customWidth="1"/>
    <col min="4102" max="4103" width="14.6640625" style="313" customWidth="1"/>
    <col min="4104" max="4104" width="19" style="313" customWidth="1"/>
    <col min="4105" max="4105" width="15.5546875" style="313" customWidth="1"/>
    <col min="4106" max="4106" width="35.6640625" style="313" customWidth="1"/>
    <col min="4107" max="4352" width="9.109375" style="313"/>
    <col min="4353" max="4353" width="12.6640625" style="313" customWidth="1"/>
    <col min="4354" max="4354" width="43.44140625" style="313" customWidth="1"/>
    <col min="4355" max="4357" width="0" style="313" hidden="1" customWidth="1"/>
    <col min="4358" max="4359" width="14.6640625" style="313" customWidth="1"/>
    <col min="4360" max="4360" width="19" style="313" customWidth="1"/>
    <col min="4361" max="4361" width="15.5546875" style="313" customWidth="1"/>
    <col min="4362" max="4362" width="35.6640625" style="313" customWidth="1"/>
    <col min="4363" max="4608" width="9.109375" style="313"/>
    <col min="4609" max="4609" width="12.6640625" style="313" customWidth="1"/>
    <col min="4610" max="4610" width="43.44140625" style="313" customWidth="1"/>
    <col min="4611" max="4613" width="0" style="313" hidden="1" customWidth="1"/>
    <col min="4614" max="4615" width="14.6640625" style="313" customWidth="1"/>
    <col min="4616" max="4616" width="19" style="313" customWidth="1"/>
    <col min="4617" max="4617" width="15.5546875" style="313" customWidth="1"/>
    <col min="4618" max="4618" width="35.6640625" style="313" customWidth="1"/>
    <col min="4619" max="4864" width="9.109375" style="313"/>
    <col min="4865" max="4865" width="12.6640625" style="313" customWidth="1"/>
    <col min="4866" max="4866" width="43.44140625" style="313" customWidth="1"/>
    <col min="4867" max="4869" width="0" style="313" hidden="1" customWidth="1"/>
    <col min="4870" max="4871" width="14.6640625" style="313" customWidth="1"/>
    <col min="4872" max="4872" width="19" style="313" customWidth="1"/>
    <col min="4873" max="4873" width="15.5546875" style="313" customWidth="1"/>
    <col min="4874" max="4874" width="35.6640625" style="313" customWidth="1"/>
    <col min="4875" max="5120" width="9.109375" style="313"/>
    <col min="5121" max="5121" width="12.6640625" style="313" customWidth="1"/>
    <col min="5122" max="5122" width="43.44140625" style="313" customWidth="1"/>
    <col min="5123" max="5125" width="0" style="313" hidden="1" customWidth="1"/>
    <col min="5126" max="5127" width="14.6640625" style="313" customWidth="1"/>
    <col min="5128" max="5128" width="19" style="313" customWidth="1"/>
    <col min="5129" max="5129" width="15.5546875" style="313" customWidth="1"/>
    <col min="5130" max="5130" width="35.6640625" style="313" customWidth="1"/>
    <col min="5131" max="5376" width="9.109375" style="313"/>
    <col min="5377" max="5377" width="12.6640625" style="313" customWidth="1"/>
    <col min="5378" max="5378" width="43.44140625" style="313" customWidth="1"/>
    <col min="5379" max="5381" width="0" style="313" hidden="1" customWidth="1"/>
    <col min="5382" max="5383" width="14.6640625" style="313" customWidth="1"/>
    <col min="5384" max="5384" width="19" style="313" customWidth="1"/>
    <col min="5385" max="5385" width="15.5546875" style="313" customWidth="1"/>
    <col min="5386" max="5386" width="35.6640625" style="313" customWidth="1"/>
    <col min="5387" max="5632" width="9.109375" style="313"/>
    <col min="5633" max="5633" width="12.6640625" style="313" customWidth="1"/>
    <col min="5634" max="5634" width="43.44140625" style="313" customWidth="1"/>
    <col min="5635" max="5637" width="0" style="313" hidden="1" customWidth="1"/>
    <col min="5638" max="5639" width="14.6640625" style="313" customWidth="1"/>
    <col min="5640" max="5640" width="19" style="313" customWidth="1"/>
    <col min="5641" max="5641" width="15.5546875" style="313" customWidth="1"/>
    <col min="5642" max="5642" width="35.6640625" style="313" customWidth="1"/>
    <col min="5643" max="5888" width="9.109375" style="313"/>
    <col min="5889" max="5889" width="12.6640625" style="313" customWidth="1"/>
    <col min="5890" max="5890" width="43.44140625" style="313" customWidth="1"/>
    <col min="5891" max="5893" width="0" style="313" hidden="1" customWidth="1"/>
    <col min="5894" max="5895" width="14.6640625" style="313" customWidth="1"/>
    <col min="5896" max="5896" width="19" style="313" customWidth="1"/>
    <col min="5897" max="5897" width="15.5546875" style="313" customWidth="1"/>
    <col min="5898" max="5898" width="35.6640625" style="313" customWidth="1"/>
    <col min="5899" max="6144" width="9.109375" style="313"/>
    <col min="6145" max="6145" width="12.6640625" style="313" customWidth="1"/>
    <col min="6146" max="6146" width="43.44140625" style="313" customWidth="1"/>
    <col min="6147" max="6149" width="0" style="313" hidden="1" customWidth="1"/>
    <col min="6150" max="6151" width="14.6640625" style="313" customWidth="1"/>
    <col min="6152" max="6152" width="19" style="313" customWidth="1"/>
    <col min="6153" max="6153" width="15.5546875" style="313" customWidth="1"/>
    <col min="6154" max="6154" width="35.6640625" style="313" customWidth="1"/>
    <col min="6155" max="6400" width="9.109375" style="313"/>
    <col min="6401" max="6401" width="12.6640625" style="313" customWidth="1"/>
    <col min="6402" max="6402" width="43.44140625" style="313" customWidth="1"/>
    <col min="6403" max="6405" width="0" style="313" hidden="1" customWidth="1"/>
    <col min="6406" max="6407" width="14.6640625" style="313" customWidth="1"/>
    <col min="6408" max="6408" width="19" style="313" customWidth="1"/>
    <col min="6409" max="6409" width="15.5546875" style="313" customWidth="1"/>
    <col min="6410" max="6410" width="35.6640625" style="313" customWidth="1"/>
    <col min="6411" max="6656" width="9.109375" style="313"/>
    <col min="6657" max="6657" width="12.6640625" style="313" customWidth="1"/>
    <col min="6658" max="6658" width="43.44140625" style="313" customWidth="1"/>
    <col min="6659" max="6661" width="0" style="313" hidden="1" customWidth="1"/>
    <col min="6662" max="6663" width="14.6640625" style="313" customWidth="1"/>
    <col min="6664" max="6664" width="19" style="313" customWidth="1"/>
    <col min="6665" max="6665" width="15.5546875" style="313" customWidth="1"/>
    <col min="6666" max="6666" width="35.6640625" style="313" customWidth="1"/>
    <col min="6667" max="6912" width="9.109375" style="313"/>
    <col min="6913" max="6913" width="12.6640625" style="313" customWidth="1"/>
    <col min="6914" max="6914" width="43.44140625" style="313" customWidth="1"/>
    <col min="6915" max="6917" width="0" style="313" hidden="1" customWidth="1"/>
    <col min="6918" max="6919" width="14.6640625" style="313" customWidth="1"/>
    <col min="6920" max="6920" width="19" style="313" customWidth="1"/>
    <col min="6921" max="6921" width="15.5546875" style="313" customWidth="1"/>
    <col min="6922" max="6922" width="35.6640625" style="313" customWidth="1"/>
    <col min="6923" max="7168" width="9.109375" style="313"/>
    <col min="7169" max="7169" width="12.6640625" style="313" customWidth="1"/>
    <col min="7170" max="7170" width="43.44140625" style="313" customWidth="1"/>
    <col min="7171" max="7173" width="0" style="313" hidden="1" customWidth="1"/>
    <col min="7174" max="7175" width="14.6640625" style="313" customWidth="1"/>
    <col min="7176" max="7176" width="19" style="313" customWidth="1"/>
    <col min="7177" max="7177" width="15.5546875" style="313" customWidth="1"/>
    <col min="7178" max="7178" width="35.6640625" style="313" customWidth="1"/>
    <col min="7179" max="7424" width="9.109375" style="313"/>
    <col min="7425" max="7425" width="12.6640625" style="313" customWidth="1"/>
    <col min="7426" max="7426" width="43.44140625" style="313" customWidth="1"/>
    <col min="7427" max="7429" width="0" style="313" hidden="1" customWidth="1"/>
    <col min="7430" max="7431" width="14.6640625" style="313" customWidth="1"/>
    <col min="7432" max="7432" width="19" style="313" customWidth="1"/>
    <col min="7433" max="7433" width="15.5546875" style="313" customWidth="1"/>
    <col min="7434" max="7434" width="35.6640625" style="313" customWidth="1"/>
    <col min="7435" max="7680" width="9.109375" style="313"/>
    <col min="7681" max="7681" width="12.6640625" style="313" customWidth="1"/>
    <col min="7682" max="7682" width="43.44140625" style="313" customWidth="1"/>
    <col min="7683" max="7685" width="0" style="313" hidden="1" customWidth="1"/>
    <col min="7686" max="7687" width="14.6640625" style="313" customWidth="1"/>
    <col min="7688" max="7688" width="19" style="313" customWidth="1"/>
    <col min="7689" max="7689" width="15.5546875" style="313" customWidth="1"/>
    <col min="7690" max="7690" width="35.6640625" style="313" customWidth="1"/>
    <col min="7691" max="7936" width="9.109375" style="313"/>
    <col min="7937" max="7937" width="12.6640625" style="313" customWidth="1"/>
    <col min="7938" max="7938" width="43.44140625" style="313" customWidth="1"/>
    <col min="7939" max="7941" width="0" style="313" hidden="1" customWidth="1"/>
    <col min="7942" max="7943" width="14.6640625" style="313" customWidth="1"/>
    <col min="7944" max="7944" width="19" style="313" customWidth="1"/>
    <col min="7945" max="7945" width="15.5546875" style="313" customWidth="1"/>
    <col min="7946" max="7946" width="35.6640625" style="313" customWidth="1"/>
    <col min="7947" max="8192" width="9.109375" style="313"/>
    <col min="8193" max="8193" width="12.6640625" style="313" customWidth="1"/>
    <col min="8194" max="8194" width="43.44140625" style="313" customWidth="1"/>
    <col min="8195" max="8197" width="0" style="313" hidden="1" customWidth="1"/>
    <col min="8198" max="8199" width="14.6640625" style="313" customWidth="1"/>
    <col min="8200" max="8200" width="19" style="313" customWidth="1"/>
    <col min="8201" max="8201" width="15.5546875" style="313" customWidth="1"/>
    <col min="8202" max="8202" width="35.6640625" style="313" customWidth="1"/>
    <col min="8203" max="8448" width="9.109375" style="313"/>
    <col min="8449" max="8449" width="12.6640625" style="313" customWidth="1"/>
    <col min="8450" max="8450" width="43.44140625" style="313" customWidth="1"/>
    <col min="8451" max="8453" width="0" style="313" hidden="1" customWidth="1"/>
    <col min="8454" max="8455" width="14.6640625" style="313" customWidth="1"/>
    <col min="8456" max="8456" width="19" style="313" customWidth="1"/>
    <col min="8457" max="8457" width="15.5546875" style="313" customWidth="1"/>
    <col min="8458" max="8458" width="35.6640625" style="313" customWidth="1"/>
    <col min="8459" max="8704" width="9.109375" style="313"/>
    <col min="8705" max="8705" width="12.6640625" style="313" customWidth="1"/>
    <col min="8706" max="8706" width="43.44140625" style="313" customWidth="1"/>
    <col min="8707" max="8709" width="0" style="313" hidden="1" customWidth="1"/>
    <col min="8710" max="8711" width="14.6640625" style="313" customWidth="1"/>
    <col min="8712" max="8712" width="19" style="313" customWidth="1"/>
    <col min="8713" max="8713" width="15.5546875" style="313" customWidth="1"/>
    <col min="8714" max="8714" width="35.6640625" style="313" customWidth="1"/>
    <col min="8715" max="8960" width="9.109375" style="313"/>
    <col min="8961" max="8961" width="12.6640625" style="313" customWidth="1"/>
    <col min="8962" max="8962" width="43.44140625" style="313" customWidth="1"/>
    <col min="8963" max="8965" width="0" style="313" hidden="1" customWidth="1"/>
    <col min="8966" max="8967" width="14.6640625" style="313" customWidth="1"/>
    <col min="8968" max="8968" width="19" style="313" customWidth="1"/>
    <col min="8969" max="8969" width="15.5546875" style="313" customWidth="1"/>
    <col min="8970" max="8970" width="35.6640625" style="313" customWidth="1"/>
    <col min="8971" max="9216" width="9.109375" style="313"/>
    <col min="9217" max="9217" width="12.6640625" style="313" customWidth="1"/>
    <col min="9218" max="9218" width="43.44140625" style="313" customWidth="1"/>
    <col min="9219" max="9221" width="0" style="313" hidden="1" customWidth="1"/>
    <col min="9222" max="9223" width="14.6640625" style="313" customWidth="1"/>
    <col min="9224" max="9224" width="19" style="313" customWidth="1"/>
    <col min="9225" max="9225" width="15.5546875" style="313" customWidth="1"/>
    <col min="9226" max="9226" width="35.6640625" style="313" customWidth="1"/>
    <col min="9227" max="9472" width="9.109375" style="313"/>
    <col min="9473" max="9473" width="12.6640625" style="313" customWidth="1"/>
    <col min="9474" max="9474" width="43.44140625" style="313" customWidth="1"/>
    <col min="9475" max="9477" width="0" style="313" hidden="1" customWidth="1"/>
    <col min="9478" max="9479" width="14.6640625" style="313" customWidth="1"/>
    <col min="9480" max="9480" width="19" style="313" customWidth="1"/>
    <col min="9481" max="9481" width="15.5546875" style="313" customWidth="1"/>
    <col min="9482" max="9482" width="35.6640625" style="313" customWidth="1"/>
    <col min="9483" max="9728" width="9.109375" style="313"/>
    <col min="9729" max="9729" width="12.6640625" style="313" customWidth="1"/>
    <col min="9730" max="9730" width="43.44140625" style="313" customWidth="1"/>
    <col min="9731" max="9733" width="0" style="313" hidden="1" customWidth="1"/>
    <col min="9734" max="9735" width="14.6640625" style="313" customWidth="1"/>
    <col min="9736" max="9736" width="19" style="313" customWidth="1"/>
    <col min="9737" max="9737" width="15.5546875" style="313" customWidth="1"/>
    <col min="9738" max="9738" width="35.6640625" style="313" customWidth="1"/>
    <col min="9739" max="9984" width="9.109375" style="313"/>
    <col min="9985" max="9985" width="12.6640625" style="313" customWidth="1"/>
    <col min="9986" max="9986" width="43.44140625" style="313" customWidth="1"/>
    <col min="9987" max="9989" width="0" style="313" hidden="1" customWidth="1"/>
    <col min="9990" max="9991" width="14.6640625" style="313" customWidth="1"/>
    <col min="9992" max="9992" width="19" style="313" customWidth="1"/>
    <col min="9993" max="9993" width="15.5546875" style="313" customWidth="1"/>
    <col min="9994" max="9994" width="35.6640625" style="313" customWidth="1"/>
    <col min="9995" max="10240" width="9.109375" style="313"/>
    <col min="10241" max="10241" width="12.6640625" style="313" customWidth="1"/>
    <col min="10242" max="10242" width="43.44140625" style="313" customWidth="1"/>
    <col min="10243" max="10245" width="0" style="313" hidden="1" customWidth="1"/>
    <col min="10246" max="10247" width="14.6640625" style="313" customWidth="1"/>
    <col min="10248" max="10248" width="19" style="313" customWidth="1"/>
    <col min="10249" max="10249" width="15.5546875" style="313" customWidth="1"/>
    <col min="10250" max="10250" width="35.6640625" style="313" customWidth="1"/>
    <col min="10251" max="10496" width="9.109375" style="313"/>
    <col min="10497" max="10497" width="12.6640625" style="313" customWidth="1"/>
    <col min="10498" max="10498" width="43.44140625" style="313" customWidth="1"/>
    <col min="10499" max="10501" width="0" style="313" hidden="1" customWidth="1"/>
    <col min="10502" max="10503" width="14.6640625" style="313" customWidth="1"/>
    <col min="10504" max="10504" width="19" style="313" customWidth="1"/>
    <col min="10505" max="10505" width="15.5546875" style="313" customWidth="1"/>
    <col min="10506" max="10506" width="35.6640625" style="313" customWidth="1"/>
    <col min="10507" max="10752" width="9.109375" style="313"/>
    <col min="10753" max="10753" width="12.6640625" style="313" customWidth="1"/>
    <col min="10754" max="10754" width="43.44140625" style="313" customWidth="1"/>
    <col min="10755" max="10757" width="0" style="313" hidden="1" customWidth="1"/>
    <col min="10758" max="10759" width="14.6640625" style="313" customWidth="1"/>
    <col min="10760" max="10760" width="19" style="313" customWidth="1"/>
    <col min="10761" max="10761" width="15.5546875" style="313" customWidth="1"/>
    <col min="10762" max="10762" width="35.6640625" style="313" customWidth="1"/>
    <col min="10763" max="11008" width="9.109375" style="313"/>
    <col min="11009" max="11009" width="12.6640625" style="313" customWidth="1"/>
    <col min="11010" max="11010" width="43.44140625" style="313" customWidth="1"/>
    <col min="11011" max="11013" width="0" style="313" hidden="1" customWidth="1"/>
    <col min="11014" max="11015" width="14.6640625" style="313" customWidth="1"/>
    <col min="11016" max="11016" width="19" style="313" customWidth="1"/>
    <col min="11017" max="11017" width="15.5546875" style="313" customWidth="1"/>
    <col min="11018" max="11018" width="35.6640625" style="313" customWidth="1"/>
    <col min="11019" max="11264" width="9.109375" style="313"/>
    <col min="11265" max="11265" width="12.6640625" style="313" customWidth="1"/>
    <col min="11266" max="11266" width="43.44140625" style="313" customWidth="1"/>
    <col min="11267" max="11269" width="0" style="313" hidden="1" customWidth="1"/>
    <col min="11270" max="11271" width="14.6640625" style="313" customWidth="1"/>
    <col min="11272" max="11272" width="19" style="313" customWidth="1"/>
    <col min="11273" max="11273" width="15.5546875" style="313" customWidth="1"/>
    <col min="11274" max="11274" width="35.6640625" style="313" customWidth="1"/>
    <col min="11275" max="11520" width="9.109375" style="313"/>
    <col min="11521" max="11521" width="12.6640625" style="313" customWidth="1"/>
    <col min="11522" max="11522" width="43.44140625" style="313" customWidth="1"/>
    <col min="11523" max="11525" width="0" style="313" hidden="1" customWidth="1"/>
    <col min="11526" max="11527" width="14.6640625" style="313" customWidth="1"/>
    <col min="11528" max="11528" width="19" style="313" customWidth="1"/>
    <col min="11529" max="11529" width="15.5546875" style="313" customWidth="1"/>
    <col min="11530" max="11530" width="35.6640625" style="313" customWidth="1"/>
    <col min="11531" max="11776" width="9.109375" style="313"/>
    <col min="11777" max="11777" width="12.6640625" style="313" customWidth="1"/>
    <col min="11778" max="11778" width="43.44140625" style="313" customWidth="1"/>
    <col min="11779" max="11781" width="0" style="313" hidden="1" customWidth="1"/>
    <col min="11782" max="11783" width="14.6640625" style="313" customWidth="1"/>
    <col min="11784" max="11784" width="19" style="313" customWidth="1"/>
    <col min="11785" max="11785" width="15.5546875" style="313" customWidth="1"/>
    <col min="11786" max="11786" width="35.6640625" style="313" customWidth="1"/>
    <col min="11787" max="12032" width="9.109375" style="313"/>
    <col min="12033" max="12033" width="12.6640625" style="313" customWidth="1"/>
    <col min="12034" max="12034" width="43.44140625" style="313" customWidth="1"/>
    <col min="12035" max="12037" width="0" style="313" hidden="1" customWidth="1"/>
    <col min="12038" max="12039" width="14.6640625" style="313" customWidth="1"/>
    <col min="12040" max="12040" width="19" style="313" customWidth="1"/>
    <col min="12041" max="12041" width="15.5546875" style="313" customWidth="1"/>
    <col min="12042" max="12042" width="35.6640625" style="313" customWidth="1"/>
    <col min="12043" max="12288" width="9.109375" style="313"/>
    <col min="12289" max="12289" width="12.6640625" style="313" customWidth="1"/>
    <col min="12290" max="12290" width="43.44140625" style="313" customWidth="1"/>
    <col min="12291" max="12293" width="0" style="313" hidden="1" customWidth="1"/>
    <col min="12294" max="12295" width="14.6640625" style="313" customWidth="1"/>
    <col min="12296" max="12296" width="19" style="313" customWidth="1"/>
    <col min="12297" max="12297" width="15.5546875" style="313" customWidth="1"/>
    <col min="12298" max="12298" width="35.6640625" style="313" customWidth="1"/>
    <col min="12299" max="12544" width="9.109375" style="313"/>
    <col min="12545" max="12545" width="12.6640625" style="313" customWidth="1"/>
    <col min="12546" max="12546" width="43.44140625" style="313" customWidth="1"/>
    <col min="12547" max="12549" width="0" style="313" hidden="1" customWidth="1"/>
    <col min="12550" max="12551" width="14.6640625" style="313" customWidth="1"/>
    <col min="12552" max="12552" width="19" style="313" customWidth="1"/>
    <col min="12553" max="12553" width="15.5546875" style="313" customWidth="1"/>
    <col min="12554" max="12554" width="35.6640625" style="313" customWidth="1"/>
    <col min="12555" max="12800" width="9.109375" style="313"/>
    <col min="12801" max="12801" width="12.6640625" style="313" customWidth="1"/>
    <col min="12802" max="12802" width="43.44140625" style="313" customWidth="1"/>
    <col min="12803" max="12805" width="0" style="313" hidden="1" customWidth="1"/>
    <col min="12806" max="12807" width="14.6640625" style="313" customWidth="1"/>
    <col min="12808" max="12808" width="19" style="313" customWidth="1"/>
    <col min="12809" max="12809" width="15.5546875" style="313" customWidth="1"/>
    <col min="12810" max="12810" width="35.6640625" style="313" customWidth="1"/>
    <col min="12811" max="13056" width="9.109375" style="313"/>
    <col min="13057" max="13057" width="12.6640625" style="313" customWidth="1"/>
    <col min="13058" max="13058" width="43.44140625" style="313" customWidth="1"/>
    <col min="13059" max="13061" width="0" style="313" hidden="1" customWidth="1"/>
    <col min="13062" max="13063" width="14.6640625" style="313" customWidth="1"/>
    <col min="13064" max="13064" width="19" style="313" customWidth="1"/>
    <col min="13065" max="13065" width="15.5546875" style="313" customWidth="1"/>
    <col min="13066" max="13066" width="35.6640625" style="313" customWidth="1"/>
    <col min="13067" max="13312" width="9.109375" style="313"/>
    <col min="13313" max="13313" width="12.6640625" style="313" customWidth="1"/>
    <col min="13314" max="13314" width="43.44140625" style="313" customWidth="1"/>
    <col min="13315" max="13317" width="0" style="313" hidden="1" customWidth="1"/>
    <col min="13318" max="13319" width="14.6640625" style="313" customWidth="1"/>
    <col min="13320" max="13320" width="19" style="313" customWidth="1"/>
    <col min="13321" max="13321" width="15.5546875" style="313" customWidth="1"/>
    <col min="13322" max="13322" width="35.6640625" style="313" customWidth="1"/>
    <col min="13323" max="13568" width="9.109375" style="313"/>
    <col min="13569" max="13569" width="12.6640625" style="313" customWidth="1"/>
    <col min="13570" max="13570" width="43.44140625" style="313" customWidth="1"/>
    <col min="13571" max="13573" width="0" style="313" hidden="1" customWidth="1"/>
    <col min="13574" max="13575" width="14.6640625" style="313" customWidth="1"/>
    <col min="13576" max="13576" width="19" style="313" customWidth="1"/>
    <col min="13577" max="13577" width="15.5546875" style="313" customWidth="1"/>
    <col min="13578" max="13578" width="35.6640625" style="313" customWidth="1"/>
    <col min="13579" max="13824" width="9.109375" style="313"/>
    <col min="13825" max="13825" width="12.6640625" style="313" customWidth="1"/>
    <col min="13826" max="13826" width="43.44140625" style="313" customWidth="1"/>
    <col min="13827" max="13829" width="0" style="313" hidden="1" customWidth="1"/>
    <col min="13830" max="13831" width="14.6640625" style="313" customWidth="1"/>
    <col min="13832" max="13832" width="19" style="313" customWidth="1"/>
    <col min="13833" max="13833" width="15.5546875" style="313" customWidth="1"/>
    <col min="13834" max="13834" width="35.6640625" style="313" customWidth="1"/>
    <col min="13835" max="14080" width="9.109375" style="313"/>
    <col min="14081" max="14081" width="12.6640625" style="313" customWidth="1"/>
    <col min="14082" max="14082" width="43.44140625" style="313" customWidth="1"/>
    <col min="14083" max="14085" width="0" style="313" hidden="1" customWidth="1"/>
    <col min="14086" max="14087" width="14.6640625" style="313" customWidth="1"/>
    <col min="14088" max="14088" width="19" style="313" customWidth="1"/>
    <col min="14089" max="14089" width="15.5546875" style="313" customWidth="1"/>
    <col min="14090" max="14090" width="35.6640625" style="313" customWidth="1"/>
    <col min="14091" max="14336" width="9.109375" style="313"/>
    <col min="14337" max="14337" width="12.6640625" style="313" customWidth="1"/>
    <col min="14338" max="14338" width="43.44140625" style="313" customWidth="1"/>
    <col min="14339" max="14341" width="0" style="313" hidden="1" customWidth="1"/>
    <col min="14342" max="14343" width="14.6640625" style="313" customWidth="1"/>
    <col min="14344" max="14344" width="19" style="313" customWidth="1"/>
    <col min="14345" max="14345" width="15.5546875" style="313" customWidth="1"/>
    <col min="14346" max="14346" width="35.6640625" style="313" customWidth="1"/>
    <col min="14347" max="14592" width="9.109375" style="313"/>
    <col min="14593" max="14593" width="12.6640625" style="313" customWidth="1"/>
    <col min="14594" max="14594" width="43.44140625" style="313" customWidth="1"/>
    <col min="14595" max="14597" width="0" style="313" hidden="1" customWidth="1"/>
    <col min="14598" max="14599" width="14.6640625" style="313" customWidth="1"/>
    <col min="14600" max="14600" width="19" style="313" customWidth="1"/>
    <col min="14601" max="14601" width="15.5546875" style="313" customWidth="1"/>
    <col min="14602" max="14602" width="35.6640625" style="313" customWidth="1"/>
    <col min="14603" max="14848" width="9.109375" style="313"/>
    <col min="14849" max="14849" width="12.6640625" style="313" customWidth="1"/>
    <col min="14850" max="14850" width="43.44140625" style="313" customWidth="1"/>
    <col min="14851" max="14853" width="0" style="313" hidden="1" customWidth="1"/>
    <col min="14854" max="14855" width="14.6640625" style="313" customWidth="1"/>
    <col min="14856" max="14856" width="19" style="313" customWidth="1"/>
    <col min="14857" max="14857" width="15.5546875" style="313" customWidth="1"/>
    <col min="14858" max="14858" width="35.6640625" style="313" customWidth="1"/>
    <col min="14859" max="15104" width="9.109375" style="313"/>
    <col min="15105" max="15105" width="12.6640625" style="313" customWidth="1"/>
    <col min="15106" max="15106" width="43.44140625" style="313" customWidth="1"/>
    <col min="15107" max="15109" width="0" style="313" hidden="1" customWidth="1"/>
    <col min="15110" max="15111" width="14.6640625" style="313" customWidth="1"/>
    <col min="15112" max="15112" width="19" style="313" customWidth="1"/>
    <col min="15113" max="15113" width="15.5546875" style="313" customWidth="1"/>
    <col min="15114" max="15114" width="35.6640625" style="313" customWidth="1"/>
    <col min="15115" max="15360" width="9.109375" style="313"/>
    <col min="15361" max="15361" width="12.6640625" style="313" customWidth="1"/>
    <col min="15362" max="15362" width="43.44140625" style="313" customWidth="1"/>
    <col min="15363" max="15365" width="0" style="313" hidden="1" customWidth="1"/>
    <col min="15366" max="15367" width="14.6640625" style="313" customWidth="1"/>
    <col min="15368" max="15368" width="19" style="313" customWidth="1"/>
    <col min="15369" max="15369" width="15.5546875" style="313" customWidth="1"/>
    <col min="15370" max="15370" width="35.6640625" style="313" customWidth="1"/>
    <col min="15371" max="15616" width="9.109375" style="313"/>
    <col min="15617" max="15617" width="12.6640625" style="313" customWidth="1"/>
    <col min="15618" max="15618" width="43.44140625" style="313" customWidth="1"/>
    <col min="15619" max="15621" width="0" style="313" hidden="1" customWidth="1"/>
    <col min="15622" max="15623" width="14.6640625" style="313" customWidth="1"/>
    <col min="15624" max="15624" width="19" style="313" customWidth="1"/>
    <col min="15625" max="15625" width="15.5546875" style="313" customWidth="1"/>
    <col min="15626" max="15626" width="35.6640625" style="313" customWidth="1"/>
    <col min="15627" max="15872" width="9.109375" style="313"/>
    <col min="15873" max="15873" width="12.6640625" style="313" customWidth="1"/>
    <col min="15874" max="15874" width="43.44140625" style="313" customWidth="1"/>
    <col min="15875" max="15877" width="0" style="313" hidden="1" customWidth="1"/>
    <col min="15878" max="15879" width="14.6640625" style="313" customWidth="1"/>
    <col min="15880" max="15880" width="19" style="313" customWidth="1"/>
    <col min="15881" max="15881" width="15.5546875" style="313" customWidth="1"/>
    <col min="15882" max="15882" width="35.6640625" style="313" customWidth="1"/>
    <col min="15883" max="16128" width="9.109375" style="313"/>
    <col min="16129" max="16129" width="12.6640625" style="313" customWidth="1"/>
    <col min="16130" max="16130" width="43.44140625" style="313" customWidth="1"/>
    <col min="16131" max="16133" width="0" style="313" hidden="1" customWidth="1"/>
    <col min="16134" max="16135" width="14.6640625" style="313" customWidth="1"/>
    <col min="16136" max="16136" width="19" style="313" customWidth="1"/>
    <col min="16137" max="16137" width="15.5546875" style="313" customWidth="1"/>
    <col min="16138" max="16138" width="35.6640625" style="313" customWidth="1"/>
    <col min="16139" max="16384" width="9.109375" style="313"/>
  </cols>
  <sheetData>
    <row r="1" spans="1:14" ht="15.6" x14ac:dyDescent="0.3">
      <c r="A1" s="404" t="s">
        <v>113</v>
      </c>
    </row>
    <row r="2" spans="1:14" ht="15.6" x14ac:dyDescent="0.25">
      <c r="A2" s="314" t="s">
        <v>514</v>
      </c>
    </row>
    <row r="3" spans="1:14" x14ac:dyDescent="0.25">
      <c r="C3" s="315" t="s">
        <v>147</v>
      </c>
      <c r="D3" s="315" t="s">
        <v>148</v>
      </c>
      <c r="E3" s="315" t="s">
        <v>147</v>
      </c>
      <c r="F3" s="406" t="s">
        <v>149</v>
      </c>
      <c r="G3" s="406" t="s">
        <v>149</v>
      </c>
      <c r="I3" s="406" t="s">
        <v>149</v>
      </c>
    </row>
    <row r="4" spans="1:14" x14ac:dyDescent="0.25">
      <c r="C4" s="315" t="s">
        <v>150</v>
      </c>
      <c r="D4" s="315" t="s">
        <v>151</v>
      </c>
      <c r="E4" s="315" t="s">
        <v>151</v>
      </c>
      <c r="F4" s="406" t="s">
        <v>152</v>
      </c>
      <c r="G4" s="406" t="s">
        <v>152</v>
      </c>
      <c r="I4" s="406" t="s">
        <v>229</v>
      </c>
    </row>
    <row r="5" spans="1:14" ht="13.2" x14ac:dyDescent="0.25">
      <c r="C5" s="316">
        <v>36799</v>
      </c>
      <c r="D5" s="316" t="s">
        <v>153</v>
      </c>
      <c r="E5" s="317" t="s">
        <v>154</v>
      </c>
      <c r="F5" s="316">
        <v>45747</v>
      </c>
      <c r="G5" s="316">
        <v>45716</v>
      </c>
      <c r="I5" s="316"/>
    </row>
    <row r="6" spans="1:14" x14ac:dyDescent="0.25">
      <c r="A6" s="312" t="s">
        <v>155</v>
      </c>
      <c r="B6" s="312" t="s">
        <v>156</v>
      </c>
    </row>
    <row r="7" spans="1:14" x14ac:dyDescent="0.25">
      <c r="A7" s="312" t="s">
        <v>157</v>
      </c>
      <c r="B7" s="312" t="s">
        <v>158</v>
      </c>
      <c r="C7" s="312" t="s">
        <v>159</v>
      </c>
      <c r="D7" s="318" t="s">
        <v>160</v>
      </c>
      <c r="E7" s="318" t="s">
        <v>161</v>
      </c>
      <c r="F7" s="407" t="s">
        <v>162</v>
      </c>
      <c r="G7" s="407" t="s">
        <v>162</v>
      </c>
    </row>
    <row r="8" spans="1:14" x14ac:dyDescent="0.25">
      <c r="A8" s="318"/>
      <c r="C8" s="319"/>
      <c r="D8" s="319"/>
      <c r="E8" s="319"/>
    </row>
    <row r="9" spans="1:14" ht="13.2" x14ac:dyDescent="0.25">
      <c r="A9" s="320"/>
      <c r="B9" s="321" t="s">
        <v>163</v>
      </c>
      <c r="C9" s="322"/>
      <c r="D9" s="322"/>
      <c r="E9" s="322"/>
      <c r="F9" s="408">
        <f>SUM(F10:F12)</f>
        <v>693876.89999999991</v>
      </c>
      <c r="G9" s="408">
        <v>693009.6</v>
      </c>
      <c r="I9" s="408">
        <f>+F9-G9</f>
        <v>867.29999999993015</v>
      </c>
    </row>
    <row r="10" spans="1:14" x14ac:dyDescent="0.25">
      <c r="A10" s="312" t="s">
        <v>164</v>
      </c>
      <c r="B10" s="312" t="s">
        <v>165</v>
      </c>
      <c r="C10" s="319"/>
      <c r="D10" s="319"/>
      <c r="E10" s="319"/>
      <c r="F10" s="405">
        <v>5118.71</v>
      </c>
      <c r="G10" s="405">
        <v>5118.71</v>
      </c>
      <c r="I10" s="405">
        <f t="shared" ref="I10:I57" si="0">+F10-G10</f>
        <v>0</v>
      </c>
    </row>
    <row r="11" spans="1:14" x14ac:dyDescent="0.25">
      <c r="A11" s="312" t="s">
        <v>166</v>
      </c>
      <c r="B11" s="312" t="s">
        <v>167</v>
      </c>
      <c r="C11" s="319"/>
      <c r="D11" s="319"/>
      <c r="E11" s="319"/>
      <c r="I11" s="405">
        <f t="shared" si="0"/>
        <v>0</v>
      </c>
    </row>
    <row r="12" spans="1:14" x14ac:dyDescent="0.25">
      <c r="A12" s="312" t="s">
        <v>168</v>
      </c>
      <c r="B12" s="312" t="s">
        <v>169</v>
      </c>
      <c r="C12" s="319"/>
      <c r="D12" s="319"/>
      <c r="E12" s="319"/>
      <c r="F12" s="405">
        <v>688758.19</v>
      </c>
      <c r="G12" s="405">
        <v>687890.89</v>
      </c>
      <c r="H12" s="324"/>
      <c r="I12" s="405">
        <f t="shared" si="0"/>
        <v>867.29999999993015</v>
      </c>
    </row>
    <row r="13" spans="1:14" x14ac:dyDescent="0.25">
      <c r="A13" s="318"/>
      <c r="C13" s="319"/>
      <c r="D13" s="319"/>
      <c r="E13" s="319"/>
      <c r="I13" s="405">
        <f t="shared" si="0"/>
        <v>0</v>
      </c>
    </row>
    <row r="14" spans="1:14" ht="13.2" x14ac:dyDescent="0.25">
      <c r="A14" s="320"/>
      <c r="B14" s="321" t="s">
        <v>170</v>
      </c>
      <c r="C14" s="322"/>
      <c r="D14" s="322"/>
      <c r="E14" s="322"/>
      <c r="F14" s="408">
        <f>SUM(F15:F19)</f>
        <v>-49076.55</v>
      </c>
      <c r="G14" s="408">
        <v>-57386.179999999993</v>
      </c>
      <c r="I14" s="408">
        <f t="shared" si="0"/>
        <v>8309.6299999999901</v>
      </c>
    </row>
    <row r="15" spans="1:14" x14ac:dyDescent="0.3">
      <c r="A15" s="312" t="s">
        <v>171</v>
      </c>
      <c r="B15" s="312" t="s">
        <v>172</v>
      </c>
      <c r="C15" s="319"/>
      <c r="D15" s="319"/>
      <c r="E15" s="319"/>
      <c r="F15" s="409">
        <v>3684.7</v>
      </c>
      <c r="G15" s="409">
        <v>3773.34</v>
      </c>
      <c r="I15" s="409">
        <f t="shared" si="0"/>
        <v>-88.640000000000327</v>
      </c>
      <c r="N15" s="410"/>
    </row>
    <row r="16" spans="1:14" hidden="1" x14ac:dyDescent="0.3">
      <c r="A16" s="312" t="s">
        <v>373</v>
      </c>
      <c r="B16" s="312" t="s">
        <v>230</v>
      </c>
      <c r="C16" s="319"/>
      <c r="D16" s="319"/>
      <c r="E16" s="319"/>
      <c r="F16" s="409"/>
      <c r="G16" s="409"/>
      <c r="H16" s="313" t="s">
        <v>374</v>
      </c>
      <c r="I16" s="409">
        <f t="shared" si="0"/>
        <v>0</v>
      </c>
    </row>
    <row r="17" spans="1:13" x14ac:dyDescent="0.3">
      <c r="A17" s="312" t="s">
        <v>173</v>
      </c>
      <c r="B17" s="312" t="s">
        <v>216</v>
      </c>
      <c r="C17" s="319"/>
      <c r="D17" s="319"/>
      <c r="E17" s="319"/>
      <c r="F17" s="411"/>
      <c r="G17" s="411"/>
      <c r="H17" s="412"/>
      <c r="I17" s="409">
        <f t="shared" si="0"/>
        <v>0</v>
      </c>
    </row>
    <row r="18" spans="1:13" ht="26.4" x14ac:dyDescent="0.3">
      <c r="A18" s="312" t="s">
        <v>375</v>
      </c>
      <c r="B18" s="530" t="s">
        <v>376</v>
      </c>
      <c r="C18" s="319"/>
      <c r="D18" s="319"/>
      <c r="E18" s="319"/>
      <c r="F18" s="411"/>
      <c r="G18" s="411"/>
      <c r="H18" s="412"/>
      <c r="I18" s="409"/>
    </row>
    <row r="19" spans="1:13" ht="12.75" customHeight="1" x14ac:dyDescent="0.3">
      <c r="A19" s="312" t="s">
        <v>174</v>
      </c>
      <c r="B19" s="312" t="s">
        <v>175</v>
      </c>
      <c r="C19" s="319"/>
      <c r="D19" s="319"/>
      <c r="E19" s="319"/>
      <c r="F19" s="458">
        <f>-52761.25</f>
        <v>-52761.25</v>
      </c>
      <c r="G19" s="458">
        <v>-61159.519999999997</v>
      </c>
      <c r="I19" s="409">
        <f t="shared" si="0"/>
        <v>8398.2699999999968</v>
      </c>
    </row>
    <row r="20" spans="1:13" ht="13.2" x14ac:dyDescent="0.25">
      <c r="A20" s="318"/>
      <c r="C20" s="319"/>
      <c r="D20" s="319"/>
      <c r="E20" s="319"/>
      <c r="F20" s="413" t="s">
        <v>176</v>
      </c>
      <c r="G20" s="413" t="s">
        <v>176</v>
      </c>
      <c r="I20" s="413"/>
    </row>
    <row r="21" spans="1:13" ht="13.2" x14ac:dyDescent="0.25">
      <c r="A21" s="320"/>
      <c r="B21" s="321" t="s">
        <v>177</v>
      </c>
      <c r="C21" s="322"/>
      <c r="D21" s="322"/>
      <c r="E21" s="322"/>
      <c r="F21" s="408">
        <f>SUM(F22:F23)</f>
        <v>181495.41</v>
      </c>
      <c r="G21" s="408">
        <v>181124.07</v>
      </c>
      <c r="I21" s="408">
        <f t="shared" si="0"/>
        <v>371.33999999999651</v>
      </c>
    </row>
    <row r="22" spans="1:13" ht="12.75" customHeight="1" x14ac:dyDescent="0.25">
      <c r="A22" s="312" t="s">
        <v>178</v>
      </c>
      <c r="B22" s="312" t="s">
        <v>179</v>
      </c>
      <c r="C22" s="319"/>
      <c r="D22" s="319"/>
      <c r="E22" s="319"/>
      <c r="F22" s="414">
        <v>130895.48</v>
      </c>
      <c r="G22" s="414">
        <v>130524.14</v>
      </c>
      <c r="I22" s="405">
        <f t="shared" si="0"/>
        <v>371.33999999999651</v>
      </c>
    </row>
    <row r="23" spans="1:13" ht="12.75" customHeight="1" x14ac:dyDescent="0.25">
      <c r="A23" s="312" t="s">
        <v>180</v>
      </c>
      <c r="B23" s="312" t="s">
        <v>181</v>
      </c>
      <c r="C23" s="319"/>
      <c r="D23" s="319"/>
      <c r="E23" s="319"/>
      <c r="F23" s="414">
        <v>50599.93</v>
      </c>
      <c r="G23" s="414">
        <v>50599.93</v>
      </c>
      <c r="I23" s="405">
        <f t="shared" si="0"/>
        <v>0</v>
      </c>
      <c r="M23" s="323"/>
    </row>
    <row r="24" spans="1:13" ht="12.75" customHeight="1" x14ac:dyDescent="0.25">
      <c r="A24" s="318"/>
      <c r="C24" s="319"/>
      <c r="D24" s="319"/>
      <c r="E24" s="319"/>
      <c r="I24" s="405"/>
    </row>
    <row r="25" spans="1:13" ht="13.2" x14ac:dyDescent="0.25">
      <c r="A25" s="320"/>
      <c r="B25" s="321" t="s">
        <v>182</v>
      </c>
      <c r="C25" s="322"/>
      <c r="D25" s="322"/>
      <c r="E25" s="322"/>
      <c r="F25" s="408">
        <f>SUM(F26:F27)</f>
        <v>17246.099999999999</v>
      </c>
      <c r="G25" s="408">
        <v>19475.22</v>
      </c>
      <c r="I25" s="408">
        <f t="shared" si="0"/>
        <v>-2229.1200000000026</v>
      </c>
    </row>
    <row r="26" spans="1:13" x14ac:dyDescent="0.3">
      <c r="A26" s="312" t="s">
        <v>183</v>
      </c>
      <c r="B26" s="312" t="s">
        <v>184</v>
      </c>
      <c r="C26" s="319"/>
      <c r="D26" s="319"/>
      <c r="E26" s="319"/>
      <c r="F26" s="411">
        <v>8349.99</v>
      </c>
      <c r="G26" s="411">
        <v>9184.9</v>
      </c>
      <c r="I26" s="409">
        <f t="shared" si="0"/>
        <v>-834.90999999999985</v>
      </c>
    </row>
    <row r="27" spans="1:13" ht="13.2" x14ac:dyDescent="0.25">
      <c r="A27" s="312" t="s">
        <v>185</v>
      </c>
      <c r="B27" s="312" t="s">
        <v>186</v>
      </c>
      <c r="C27" s="319"/>
      <c r="D27" s="319"/>
      <c r="E27" s="319"/>
      <c r="F27" s="415">
        <v>8896.11</v>
      </c>
      <c r="G27" s="415">
        <v>10290.32</v>
      </c>
      <c r="I27" s="416">
        <f t="shared" si="0"/>
        <v>-1394.2099999999991</v>
      </c>
    </row>
    <row r="28" spans="1:13" x14ac:dyDescent="0.25">
      <c r="A28" s="318"/>
      <c r="C28" s="319"/>
      <c r="D28" s="319"/>
      <c r="E28" s="319"/>
      <c r="I28" s="405"/>
    </row>
    <row r="29" spans="1:13" ht="13.2" x14ac:dyDescent="0.25">
      <c r="A29" s="320"/>
      <c r="B29" s="321" t="s">
        <v>187</v>
      </c>
      <c r="C29" s="322"/>
      <c r="D29" s="322"/>
      <c r="E29" s="322"/>
      <c r="F29" s="408">
        <v>30420</v>
      </c>
      <c r="G29" s="408">
        <v>30420</v>
      </c>
      <c r="I29" s="408">
        <f t="shared" si="0"/>
        <v>0</v>
      </c>
    </row>
    <row r="30" spans="1:13" ht="13.2" x14ac:dyDescent="0.25">
      <c r="A30" s="312" t="s">
        <v>188</v>
      </c>
      <c r="B30" s="312" t="s">
        <v>189</v>
      </c>
      <c r="C30" s="319"/>
      <c r="D30" s="319"/>
      <c r="E30" s="319"/>
      <c r="F30" s="417"/>
      <c r="G30" s="417">
        <v>30420</v>
      </c>
      <c r="I30" s="417">
        <f t="shared" si="0"/>
        <v>-30420</v>
      </c>
    </row>
    <row r="31" spans="1:13" hidden="1" x14ac:dyDescent="0.25">
      <c r="A31" s="318"/>
      <c r="C31" s="319"/>
      <c r="D31" s="319"/>
      <c r="E31" s="319"/>
      <c r="I31" s="405">
        <f t="shared" si="0"/>
        <v>0</v>
      </c>
    </row>
    <row r="32" spans="1:13" ht="13.2" hidden="1" x14ac:dyDescent="0.25">
      <c r="A32" s="320"/>
      <c r="B32" s="321" t="s">
        <v>190</v>
      </c>
      <c r="C32" s="322"/>
      <c r="D32" s="322"/>
      <c r="E32" s="322"/>
      <c r="F32" s="408">
        <f>SUM(F33:F33)</f>
        <v>0</v>
      </c>
      <c r="G32" s="408">
        <v>0</v>
      </c>
      <c r="I32" s="408">
        <f t="shared" si="0"/>
        <v>0</v>
      </c>
    </row>
    <row r="33" spans="1:9" hidden="1" x14ac:dyDescent="0.25">
      <c r="A33" s="312" t="s">
        <v>191</v>
      </c>
      <c r="B33" s="312" t="s">
        <v>192</v>
      </c>
      <c r="C33" s="319"/>
      <c r="D33" s="319"/>
      <c r="E33" s="319"/>
      <c r="F33" s="405">
        <v>0</v>
      </c>
      <c r="G33" s="405">
        <v>0</v>
      </c>
      <c r="I33" s="405">
        <f t="shared" si="0"/>
        <v>0</v>
      </c>
    </row>
    <row r="34" spans="1:9" hidden="1" x14ac:dyDescent="0.25">
      <c r="C34" s="319"/>
      <c r="D34" s="319"/>
      <c r="E34" s="319"/>
      <c r="I34" s="405">
        <f t="shared" si="0"/>
        <v>0</v>
      </c>
    </row>
    <row r="35" spans="1:9" x14ac:dyDescent="0.25">
      <c r="A35" s="318"/>
      <c r="C35" s="319"/>
      <c r="D35" s="319"/>
      <c r="E35" s="319"/>
      <c r="I35" s="405">
        <f t="shared" si="0"/>
        <v>0</v>
      </c>
    </row>
    <row r="36" spans="1:9" ht="13.2" x14ac:dyDescent="0.25">
      <c r="A36" s="325"/>
      <c r="B36" s="326" t="s">
        <v>193</v>
      </c>
      <c r="C36" s="327"/>
      <c r="D36" s="327"/>
      <c r="E36" s="327"/>
      <c r="F36" s="418">
        <f>F9+F14+F21+F25+F29</f>
        <v>873961.85999999987</v>
      </c>
      <c r="G36" s="418">
        <v>866642.71</v>
      </c>
      <c r="I36" s="418">
        <f t="shared" si="0"/>
        <v>7319.1499999999069</v>
      </c>
    </row>
    <row r="37" spans="1:9" x14ac:dyDescent="0.25">
      <c r="A37" s="318"/>
      <c r="C37" s="319"/>
      <c r="D37" s="319"/>
      <c r="E37" s="319"/>
      <c r="I37" s="405"/>
    </row>
    <row r="38" spans="1:9" ht="13.2" hidden="1" x14ac:dyDescent="0.25">
      <c r="A38" s="320"/>
      <c r="B38" s="321" t="s">
        <v>194</v>
      </c>
      <c r="C38" s="322"/>
      <c r="D38" s="322"/>
      <c r="E38" s="322"/>
      <c r="F38" s="408">
        <f>SUM(F39)</f>
        <v>0</v>
      </c>
      <c r="G38" s="408">
        <v>0</v>
      </c>
      <c r="I38" s="408">
        <f t="shared" si="0"/>
        <v>0</v>
      </c>
    </row>
    <row r="39" spans="1:9" hidden="1" x14ac:dyDescent="0.25">
      <c r="A39" s="312" t="s">
        <v>174</v>
      </c>
      <c r="B39" s="312" t="s">
        <v>175</v>
      </c>
      <c r="C39" s="319"/>
      <c r="D39" s="319"/>
      <c r="E39" s="319"/>
      <c r="I39" s="405">
        <f t="shared" si="0"/>
        <v>0</v>
      </c>
    </row>
    <row r="40" spans="1:9" hidden="1" x14ac:dyDescent="0.25">
      <c r="C40" s="319"/>
      <c r="D40" s="319"/>
      <c r="E40" s="319"/>
      <c r="I40" s="405">
        <f t="shared" si="0"/>
        <v>0</v>
      </c>
    </row>
    <row r="41" spans="1:9" ht="13.2" x14ac:dyDescent="0.25">
      <c r="A41" s="320"/>
      <c r="B41" s="321" t="s">
        <v>195</v>
      </c>
      <c r="C41" s="322"/>
      <c r="D41" s="322"/>
      <c r="E41" s="322"/>
      <c r="F41" s="408">
        <f>SUM(F42:F43)</f>
        <v>26300.739999999998</v>
      </c>
      <c r="G41" s="408">
        <v>23085.27</v>
      </c>
      <c r="I41" s="408">
        <f t="shared" si="0"/>
        <v>3215.4699999999975</v>
      </c>
    </row>
    <row r="42" spans="1:9" ht="13.2" x14ac:dyDescent="0.25">
      <c r="A42" s="312" t="s">
        <v>196</v>
      </c>
      <c r="B42" s="312" t="s">
        <v>197</v>
      </c>
      <c r="C42" s="319"/>
      <c r="D42" s="319"/>
      <c r="E42" s="319"/>
      <c r="F42" s="419">
        <v>6679.78</v>
      </c>
      <c r="G42" s="419">
        <v>4493.4799999999996</v>
      </c>
      <c r="I42" s="417">
        <f t="shared" si="0"/>
        <v>2186.3000000000002</v>
      </c>
    </row>
    <row r="43" spans="1:9" x14ac:dyDescent="0.25">
      <c r="A43" s="312" t="s">
        <v>191</v>
      </c>
      <c r="B43" s="312" t="s">
        <v>198</v>
      </c>
      <c r="C43" s="319"/>
      <c r="D43" s="319"/>
      <c r="E43" s="319"/>
      <c r="F43" s="414">
        <v>19620.96</v>
      </c>
      <c r="G43" s="414">
        <v>18591.79</v>
      </c>
      <c r="I43" s="405">
        <f t="shared" si="0"/>
        <v>1029.1699999999983</v>
      </c>
    </row>
    <row r="44" spans="1:9" x14ac:dyDescent="0.25">
      <c r="A44" s="318"/>
      <c r="C44" s="319"/>
      <c r="D44" s="319"/>
      <c r="E44" s="319"/>
      <c r="I44" s="405"/>
    </row>
    <row r="45" spans="1:9" ht="13.2" hidden="1" x14ac:dyDescent="0.25">
      <c r="A45" s="320"/>
      <c r="B45" s="321" t="s">
        <v>199</v>
      </c>
      <c r="C45" s="322"/>
      <c r="D45" s="322"/>
      <c r="E45" s="322"/>
      <c r="F45" s="408">
        <f>SUM(F46:F46)</f>
        <v>0</v>
      </c>
      <c r="G45" s="408">
        <v>0</v>
      </c>
      <c r="I45" s="408">
        <f t="shared" si="0"/>
        <v>0</v>
      </c>
    </row>
    <row r="46" spans="1:9" hidden="1" x14ac:dyDescent="0.25">
      <c r="C46" s="319"/>
      <c r="D46" s="319"/>
      <c r="E46" s="319"/>
      <c r="I46" s="405">
        <f t="shared" si="0"/>
        <v>0</v>
      </c>
    </row>
    <row r="47" spans="1:9" hidden="1" x14ac:dyDescent="0.25">
      <c r="A47" s="318"/>
      <c r="C47" s="319"/>
      <c r="D47" s="319"/>
      <c r="E47" s="319"/>
      <c r="I47" s="405">
        <f t="shared" si="0"/>
        <v>0</v>
      </c>
    </row>
    <row r="48" spans="1:9" ht="13.2" x14ac:dyDescent="0.25">
      <c r="A48" s="320"/>
      <c r="B48" s="321" t="s">
        <v>200</v>
      </c>
      <c r="C48" s="322"/>
      <c r="D48" s="322"/>
      <c r="E48" s="322"/>
      <c r="F48" s="408">
        <f>SUM(F49:F52)</f>
        <v>847661.12</v>
      </c>
      <c r="G48" s="408">
        <v>843557.44</v>
      </c>
      <c r="I48" s="408">
        <f t="shared" si="0"/>
        <v>4103.6800000000512</v>
      </c>
    </row>
    <row r="49" spans="1:9" ht="13.2" x14ac:dyDescent="0.25">
      <c r="A49" s="312" t="s">
        <v>201</v>
      </c>
      <c r="B49" s="312" t="s">
        <v>202</v>
      </c>
      <c r="C49" s="319"/>
      <c r="D49" s="319"/>
      <c r="E49" s="319"/>
      <c r="F49" s="417">
        <v>41387.72</v>
      </c>
      <c r="G49" s="417">
        <v>41387.72</v>
      </c>
      <c r="I49" s="417">
        <f t="shared" si="0"/>
        <v>0</v>
      </c>
    </row>
    <row r="50" spans="1:9" x14ac:dyDescent="0.25">
      <c r="A50" s="312" t="s">
        <v>203</v>
      </c>
      <c r="B50" s="312" t="s">
        <v>204</v>
      </c>
      <c r="C50" s="319"/>
      <c r="D50" s="319"/>
      <c r="E50" s="319"/>
      <c r="F50" s="414">
        <v>820322.95</v>
      </c>
      <c r="G50" s="414">
        <v>797859.2</v>
      </c>
      <c r="I50" s="405">
        <f t="shared" si="0"/>
        <v>22463.75</v>
      </c>
    </row>
    <row r="51" spans="1:9" x14ac:dyDescent="0.25">
      <c r="A51" s="312" t="s">
        <v>205</v>
      </c>
      <c r="B51" s="312" t="s">
        <v>206</v>
      </c>
      <c r="C51" s="319"/>
      <c r="D51" s="319"/>
      <c r="E51" s="319"/>
      <c r="F51" s="405">
        <v>42059.15</v>
      </c>
      <c r="G51" s="405">
        <v>42059.15</v>
      </c>
      <c r="I51" s="405">
        <f t="shared" si="0"/>
        <v>0</v>
      </c>
    </row>
    <row r="52" spans="1:9" ht="13.2" x14ac:dyDescent="0.25">
      <c r="B52" s="312" t="s">
        <v>207</v>
      </c>
      <c r="C52" s="319"/>
      <c r="D52" s="319"/>
      <c r="E52" s="319"/>
      <c r="F52" s="419">
        <f>-56108.7</f>
        <v>-56108.7</v>
      </c>
      <c r="G52" s="419">
        <v>-37748.629999999997</v>
      </c>
      <c r="I52" s="419">
        <f t="shared" si="0"/>
        <v>-18360.07</v>
      </c>
    </row>
    <row r="53" spans="1:9" x14ac:dyDescent="0.25">
      <c r="C53" s="319"/>
      <c r="D53" s="319"/>
      <c r="E53" s="319"/>
      <c r="I53" s="405">
        <f t="shared" si="0"/>
        <v>0</v>
      </c>
    </row>
    <row r="54" spans="1:9" ht="13.2" x14ac:dyDescent="0.25">
      <c r="A54" s="325"/>
      <c r="B54" s="326" t="s">
        <v>208</v>
      </c>
      <c r="C54" s="327"/>
      <c r="D54" s="327"/>
      <c r="E54" s="327"/>
      <c r="F54" s="418">
        <f>F48+F41+F38</f>
        <v>873961.86</v>
      </c>
      <c r="G54" s="418">
        <v>866642.71</v>
      </c>
      <c r="H54" s="323"/>
      <c r="I54" s="418">
        <f t="shared" si="0"/>
        <v>7319.1500000000233</v>
      </c>
    </row>
    <row r="55" spans="1:9" x14ac:dyDescent="0.25">
      <c r="C55" s="319"/>
      <c r="D55" s="319"/>
      <c r="E55" s="319"/>
      <c r="I55" s="405"/>
    </row>
    <row r="56" spans="1:9" x14ac:dyDescent="0.25">
      <c r="C56" s="319"/>
      <c r="D56" s="319"/>
      <c r="E56" s="319"/>
      <c r="I56" s="405"/>
    </row>
    <row r="57" spans="1:9" x14ac:dyDescent="0.25">
      <c r="B57" s="312" t="s">
        <v>209</v>
      </c>
      <c r="C57" s="319"/>
      <c r="D57" s="319"/>
      <c r="E57" s="319"/>
      <c r="F57" s="405">
        <f>F36-F54</f>
        <v>0</v>
      </c>
      <c r="G57" s="405">
        <f>G36-G54</f>
        <v>0</v>
      </c>
      <c r="I57" s="405">
        <f t="shared" si="0"/>
        <v>0</v>
      </c>
    </row>
    <row r="58" spans="1:9" x14ac:dyDescent="0.25">
      <c r="C58" s="319"/>
      <c r="D58" s="319"/>
      <c r="E58" s="319"/>
    </row>
    <row r="59" spans="1:9" x14ac:dyDescent="0.25">
      <c r="B59" s="328"/>
      <c r="C59" s="319"/>
      <c r="D59" s="319"/>
      <c r="E59" s="319"/>
    </row>
    <row r="60" spans="1:9" x14ac:dyDescent="0.25">
      <c r="C60" s="319"/>
      <c r="D60" s="319"/>
      <c r="E60" s="319"/>
    </row>
    <row r="61" spans="1:9" ht="13.2" x14ac:dyDescent="0.25">
      <c r="B61" s="328"/>
      <c r="C61" s="329"/>
      <c r="D61" s="328"/>
      <c r="E61" s="328"/>
      <c r="F61" s="420"/>
      <c r="G61" s="420"/>
    </row>
    <row r="65" spans="3:3" x14ac:dyDescent="0.25">
      <c r="C65" s="319"/>
    </row>
  </sheetData>
  <pageMargins left="0.17" right="0.21" top="0.75" bottom="0.75" header="0.3" footer="0.3"/>
  <pageSetup scale="7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4D365-D3BB-4874-83D3-6861D287D889}">
  <sheetPr>
    <pageSetUpPr fitToPage="1"/>
  </sheetPr>
  <dimension ref="A1:P37"/>
  <sheetViews>
    <sheetView zoomScaleNormal="100" workbookViewId="0">
      <selection activeCell="S9" sqref="S9"/>
    </sheetView>
  </sheetViews>
  <sheetFormatPr defaultColWidth="9.109375" defaultRowHeight="13.2" x14ac:dyDescent="0.25"/>
  <cols>
    <col min="1" max="1" width="1" style="459" customWidth="1"/>
    <col min="2" max="2" width="14.44140625" style="459" hidden="1" customWidth="1"/>
    <col min="3" max="3" width="66" style="461" customWidth="1"/>
    <col min="4" max="4" width="1.21875" style="461" customWidth="1"/>
    <col min="5" max="5" width="11.44140625" style="461" bestFit="1" customWidth="1"/>
    <col min="6" max="6" width="1.33203125" style="461" customWidth="1"/>
    <col min="7" max="7" width="15.109375" style="461" bestFit="1" customWidth="1"/>
    <col min="8" max="8" width="1.21875" style="461" customWidth="1"/>
    <col min="9" max="9" width="11.6640625" style="461" customWidth="1"/>
    <col min="10" max="10" width="1.109375" style="461" customWidth="1"/>
    <col min="11" max="11" width="11.6640625" style="461" customWidth="1"/>
    <col min="12" max="12" width="1.109375" style="461" customWidth="1"/>
    <col min="13" max="13" width="11.6640625" style="461" customWidth="1"/>
    <col min="14" max="14" width="2.6640625" style="461" customWidth="1"/>
    <col min="15" max="15" width="71.88671875" style="461" hidden="1" customWidth="1"/>
    <col min="16" max="16384" width="9.109375" style="461"/>
  </cols>
  <sheetData>
    <row r="1" spans="1:16" ht="10.8" customHeight="1" x14ac:dyDescent="0.25"/>
    <row r="2" spans="1:16" x14ac:dyDescent="0.25">
      <c r="C2" s="421" t="s">
        <v>113</v>
      </c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</row>
    <row r="3" spans="1:16" ht="3" customHeight="1" x14ac:dyDescent="0.25"/>
    <row r="4" spans="1:16" x14ac:dyDescent="0.25">
      <c r="C4" s="460" t="s">
        <v>515</v>
      </c>
      <c r="D4" s="460"/>
      <c r="E4" s="460"/>
      <c r="F4" s="460"/>
      <c r="G4" s="460"/>
      <c r="I4" s="460"/>
      <c r="K4" s="460"/>
      <c r="M4" s="460"/>
    </row>
    <row r="5" spans="1:16" ht="9.6" customHeight="1" x14ac:dyDescent="0.25">
      <c r="C5" s="460"/>
      <c r="D5" s="460"/>
      <c r="E5" s="460"/>
      <c r="F5" s="460"/>
      <c r="G5" s="460"/>
      <c r="I5" s="460"/>
      <c r="K5" s="460"/>
      <c r="M5" s="460"/>
    </row>
    <row r="6" spans="1:16" ht="15" customHeight="1" x14ac:dyDescent="0.25">
      <c r="B6" s="791" t="s">
        <v>114</v>
      </c>
      <c r="C6" s="791" t="s">
        <v>115</v>
      </c>
      <c r="D6" s="462"/>
      <c r="E6" s="463" t="s">
        <v>116</v>
      </c>
      <c r="F6" s="464"/>
      <c r="G6" s="463" t="s">
        <v>117</v>
      </c>
      <c r="I6" s="463" t="s">
        <v>118</v>
      </c>
      <c r="K6" s="463" t="s">
        <v>118</v>
      </c>
      <c r="M6" s="463" t="s">
        <v>119</v>
      </c>
      <c r="O6" s="463"/>
    </row>
    <row r="7" spans="1:16" ht="15" customHeight="1" thickBot="1" x14ac:dyDescent="0.3">
      <c r="B7" s="792"/>
      <c r="C7" s="792"/>
      <c r="D7" s="465"/>
      <c r="E7" s="466">
        <v>2025</v>
      </c>
      <c r="F7" s="467"/>
      <c r="G7" s="468" t="s">
        <v>661</v>
      </c>
      <c r="I7" s="469" t="s">
        <v>120</v>
      </c>
      <c r="K7" s="469" t="s">
        <v>121</v>
      </c>
      <c r="M7" s="469" t="s">
        <v>122</v>
      </c>
      <c r="O7" s="469" t="s">
        <v>123</v>
      </c>
    </row>
    <row r="8" spans="1:16" ht="19.95" customHeight="1" x14ac:dyDescent="0.25">
      <c r="B8" s="537" t="s">
        <v>516</v>
      </c>
      <c r="C8" s="538" t="s">
        <v>517</v>
      </c>
      <c r="E8" s="539">
        <v>14000</v>
      </c>
      <c r="F8" s="470"/>
      <c r="G8" s="471">
        <f>635.55+674.98</f>
        <v>1310.53</v>
      </c>
      <c r="H8" s="472"/>
      <c r="I8" s="471">
        <f>+E8-G8</f>
        <v>12689.47</v>
      </c>
      <c r="J8" s="472"/>
      <c r="K8" s="471">
        <f>G8+I8</f>
        <v>14000</v>
      </c>
      <c r="L8" s="472"/>
      <c r="M8" s="471">
        <f>K8-E8</f>
        <v>0</v>
      </c>
      <c r="N8" s="472"/>
      <c r="O8" s="473" t="s">
        <v>518</v>
      </c>
      <c r="P8" s="472"/>
    </row>
    <row r="9" spans="1:16" ht="19.95" customHeight="1" x14ac:dyDescent="0.25">
      <c r="B9" s="540" t="s">
        <v>519</v>
      </c>
      <c r="C9" s="541" t="s">
        <v>382</v>
      </c>
      <c r="E9" s="542">
        <v>8000</v>
      </c>
      <c r="F9" s="470"/>
      <c r="G9" s="471">
        <f>336+464.57+498.31+154.88+482.49</f>
        <v>1936.2499999999998</v>
      </c>
      <c r="H9" s="472"/>
      <c r="I9" s="471">
        <f>+E9-G9</f>
        <v>6063.75</v>
      </c>
      <c r="J9" s="472"/>
      <c r="K9" s="471">
        <f t="shared" ref="K9:K32" si="0">G9+I9</f>
        <v>8000</v>
      </c>
      <c r="L9" s="472"/>
      <c r="M9" s="471">
        <f t="shared" ref="M9:M32" si="1">K9-E9</f>
        <v>0</v>
      </c>
      <c r="N9" s="472"/>
      <c r="O9" s="543" t="s">
        <v>520</v>
      </c>
      <c r="P9" s="472"/>
    </row>
    <row r="10" spans="1:16" s="472" customFormat="1" ht="19.95" customHeight="1" x14ac:dyDescent="0.25">
      <c r="A10" s="474"/>
      <c r="B10" s="540" t="s">
        <v>521</v>
      </c>
      <c r="C10" s="541" t="s">
        <v>522</v>
      </c>
      <c r="E10" s="544">
        <v>6500</v>
      </c>
      <c r="F10" s="475"/>
      <c r="G10" s="471"/>
      <c r="I10" s="471">
        <f t="shared" ref="I10:I32" si="2">+E10-G10</f>
        <v>6500</v>
      </c>
      <c r="K10" s="471">
        <f t="shared" si="0"/>
        <v>6500</v>
      </c>
      <c r="M10" s="471">
        <f t="shared" si="1"/>
        <v>0</v>
      </c>
      <c r="O10" s="476"/>
    </row>
    <row r="11" spans="1:16" s="472" customFormat="1" ht="19.95" customHeight="1" x14ac:dyDescent="0.25">
      <c r="A11" s="474"/>
      <c r="B11" s="540" t="s">
        <v>523</v>
      </c>
      <c r="C11" s="541" t="s">
        <v>524</v>
      </c>
      <c r="E11" s="545">
        <v>12000</v>
      </c>
      <c r="F11" s="475"/>
      <c r="G11" s="471"/>
      <c r="I11" s="471">
        <f t="shared" si="2"/>
        <v>12000</v>
      </c>
      <c r="K11" s="471">
        <f t="shared" si="0"/>
        <v>12000</v>
      </c>
      <c r="M11" s="471">
        <f t="shared" si="1"/>
        <v>0</v>
      </c>
      <c r="O11" s="473"/>
    </row>
    <row r="12" spans="1:16" s="472" customFormat="1" ht="19.95" customHeight="1" x14ac:dyDescent="0.25">
      <c r="A12" s="474"/>
      <c r="B12" s="540" t="s">
        <v>525</v>
      </c>
      <c r="C12" s="541" t="s">
        <v>526</v>
      </c>
      <c r="E12" s="545">
        <v>5000</v>
      </c>
      <c r="F12" s="475"/>
      <c r="G12" s="471"/>
      <c r="I12" s="471">
        <f t="shared" si="2"/>
        <v>5000</v>
      </c>
      <c r="K12" s="471">
        <f t="shared" si="0"/>
        <v>5000</v>
      </c>
      <c r="M12" s="471">
        <f t="shared" si="1"/>
        <v>0</v>
      </c>
      <c r="O12" s="477"/>
    </row>
    <row r="13" spans="1:16" s="472" customFormat="1" ht="19.95" customHeight="1" x14ac:dyDescent="0.25">
      <c r="A13" s="474"/>
      <c r="B13" s="540" t="s">
        <v>527</v>
      </c>
      <c r="C13" s="546" t="s">
        <v>528</v>
      </c>
      <c r="E13" s="545">
        <f>7000+2700</f>
        <v>9700</v>
      </c>
      <c r="F13" s="475"/>
      <c r="G13" s="471"/>
      <c r="I13" s="471">
        <f t="shared" si="2"/>
        <v>9700</v>
      </c>
      <c r="K13" s="471">
        <f t="shared" si="0"/>
        <v>9700</v>
      </c>
      <c r="M13" s="471">
        <f t="shared" si="1"/>
        <v>0</v>
      </c>
      <c r="O13" s="473"/>
    </row>
    <row r="14" spans="1:16" s="472" customFormat="1" ht="19.95" customHeight="1" x14ac:dyDescent="0.25">
      <c r="A14" s="474"/>
      <c r="B14" s="540" t="s">
        <v>529</v>
      </c>
      <c r="C14" s="541" t="s">
        <v>530</v>
      </c>
      <c r="E14" s="542">
        <v>15000</v>
      </c>
      <c r="F14" s="475"/>
      <c r="G14" s="471"/>
      <c r="I14" s="471">
        <f t="shared" si="2"/>
        <v>15000</v>
      </c>
      <c r="K14" s="471">
        <f t="shared" si="0"/>
        <v>15000</v>
      </c>
      <c r="M14" s="471">
        <f t="shared" si="1"/>
        <v>0</v>
      </c>
      <c r="O14" s="478"/>
    </row>
    <row r="15" spans="1:16" s="472" customFormat="1" ht="19.95" customHeight="1" x14ac:dyDescent="0.25">
      <c r="A15" s="474"/>
      <c r="B15" s="540" t="s">
        <v>531</v>
      </c>
      <c r="C15" s="541" t="s">
        <v>532</v>
      </c>
      <c r="E15" s="542">
        <v>7500</v>
      </c>
      <c r="G15" s="471"/>
      <c r="I15" s="471">
        <f t="shared" si="2"/>
        <v>7500</v>
      </c>
      <c r="K15" s="471">
        <f t="shared" si="0"/>
        <v>7500</v>
      </c>
      <c r="M15" s="471">
        <f>K15-E15</f>
        <v>0</v>
      </c>
      <c r="O15" s="547"/>
    </row>
    <row r="16" spans="1:16" s="472" customFormat="1" ht="19.95" customHeight="1" x14ac:dyDescent="0.25">
      <c r="A16" s="474"/>
      <c r="B16" s="540" t="s">
        <v>533</v>
      </c>
      <c r="C16" s="541" t="s">
        <v>534</v>
      </c>
      <c r="E16" s="544">
        <v>15000</v>
      </c>
      <c r="F16" s="480"/>
      <c r="G16" s="481"/>
      <c r="I16" s="471">
        <f t="shared" si="2"/>
        <v>15000</v>
      </c>
      <c r="K16" s="471">
        <f t="shared" si="0"/>
        <v>15000</v>
      </c>
      <c r="M16" s="471">
        <f t="shared" si="1"/>
        <v>0</v>
      </c>
      <c r="O16" s="482"/>
    </row>
    <row r="17" spans="1:15" s="472" customFormat="1" ht="19.95" customHeight="1" x14ac:dyDescent="0.25">
      <c r="A17" s="474"/>
      <c r="B17" s="540" t="s">
        <v>535</v>
      </c>
      <c r="C17" s="541" t="s">
        <v>536</v>
      </c>
      <c r="E17" s="545">
        <v>8000</v>
      </c>
      <c r="F17" s="480"/>
      <c r="G17" s="481">
        <v>7000</v>
      </c>
      <c r="I17" s="471">
        <f t="shared" si="2"/>
        <v>1000</v>
      </c>
      <c r="K17" s="471">
        <f t="shared" si="0"/>
        <v>8000</v>
      </c>
      <c r="M17" s="471">
        <f t="shared" si="1"/>
        <v>0</v>
      </c>
      <c r="O17" s="543" t="s">
        <v>537</v>
      </c>
    </row>
    <row r="18" spans="1:15" s="472" customFormat="1" ht="19.95" customHeight="1" x14ac:dyDescent="0.25">
      <c r="A18" s="474"/>
      <c r="B18" s="540" t="s">
        <v>538</v>
      </c>
      <c r="C18" s="541" t="s">
        <v>386</v>
      </c>
      <c r="E18" s="548">
        <v>3500</v>
      </c>
      <c r="F18" s="475"/>
      <c r="G18" s="471"/>
      <c r="I18" s="471">
        <f t="shared" si="2"/>
        <v>3500</v>
      </c>
      <c r="K18" s="471">
        <f t="shared" si="0"/>
        <v>3500</v>
      </c>
      <c r="M18" s="471">
        <f t="shared" si="1"/>
        <v>0</v>
      </c>
      <c r="O18" s="534"/>
    </row>
    <row r="19" spans="1:15" s="472" customFormat="1" ht="19.95" customHeight="1" x14ac:dyDescent="0.25">
      <c r="A19" s="474"/>
      <c r="B19" s="540" t="s">
        <v>539</v>
      </c>
      <c r="C19" s="541" t="s">
        <v>540</v>
      </c>
      <c r="E19" s="544">
        <v>16000</v>
      </c>
      <c r="G19" s="471"/>
      <c r="I19" s="471">
        <f t="shared" si="2"/>
        <v>16000</v>
      </c>
      <c r="K19" s="471">
        <f t="shared" si="0"/>
        <v>16000</v>
      </c>
      <c r="M19" s="471">
        <f t="shared" si="1"/>
        <v>0</v>
      </c>
      <c r="O19" s="477"/>
    </row>
    <row r="20" spans="1:15" s="472" customFormat="1" ht="19.95" customHeight="1" x14ac:dyDescent="0.25">
      <c r="A20" s="474"/>
      <c r="B20" s="540" t="s">
        <v>541</v>
      </c>
      <c r="C20" s="549" t="s">
        <v>542</v>
      </c>
      <c r="E20" s="550">
        <v>10000</v>
      </c>
      <c r="G20" s="471"/>
      <c r="I20" s="471">
        <f t="shared" si="2"/>
        <v>10000</v>
      </c>
      <c r="K20" s="471">
        <f t="shared" si="0"/>
        <v>10000</v>
      </c>
      <c r="M20" s="471">
        <f>K20-E20</f>
        <v>0</v>
      </c>
      <c r="O20" s="473"/>
    </row>
    <row r="21" spans="1:15" s="472" customFormat="1" ht="19.95" customHeight="1" x14ac:dyDescent="0.25">
      <c r="A21" s="474"/>
      <c r="B21" s="540" t="s">
        <v>543</v>
      </c>
      <c r="C21" s="826" t="s">
        <v>544</v>
      </c>
      <c r="E21" s="544">
        <f>'[7]Capex Detail'!E26</f>
        <v>6066.6</v>
      </c>
      <c r="G21" s="471">
        <f>1939.68+3186.64</f>
        <v>5126.32</v>
      </c>
      <c r="I21" s="471">
        <f t="shared" si="2"/>
        <v>940.28000000000065</v>
      </c>
      <c r="K21" s="471">
        <f t="shared" si="0"/>
        <v>6066.6</v>
      </c>
      <c r="M21" s="471">
        <f t="shared" si="1"/>
        <v>0</v>
      </c>
      <c r="O21" s="543" t="s">
        <v>545</v>
      </c>
    </row>
    <row r="22" spans="1:15" s="472" customFormat="1" ht="19.95" customHeight="1" x14ac:dyDescent="0.25">
      <c r="A22" s="474"/>
      <c r="B22" s="540" t="s">
        <v>546</v>
      </c>
      <c r="C22" s="551" t="s">
        <v>547</v>
      </c>
      <c r="E22" s="550">
        <f>9366+20345</f>
        <v>29711</v>
      </c>
      <c r="G22" s="471">
        <f>17940+2405</f>
        <v>20345</v>
      </c>
      <c r="I22" s="471">
        <f t="shared" si="2"/>
        <v>9366</v>
      </c>
      <c r="K22" s="471">
        <f t="shared" si="0"/>
        <v>29711</v>
      </c>
      <c r="M22" s="471">
        <f t="shared" si="1"/>
        <v>0</v>
      </c>
      <c r="O22" s="547" t="s">
        <v>548</v>
      </c>
    </row>
    <row r="23" spans="1:15" s="472" customFormat="1" ht="19.95" customHeight="1" x14ac:dyDescent="0.25">
      <c r="A23" s="474"/>
      <c r="B23" s="540" t="s">
        <v>549</v>
      </c>
      <c r="C23" s="551" t="s">
        <v>550</v>
      </c>
      <c r="E23" s="550">
        <v>12000</v>
      </c>
      <c r="G23" s="484">
        <v>14013.7</v>
      </c>
      <c r="I23" s="471">
        <v>0</v>
      </c>
      <c r="K23" s="471">
        <f t="shared" si="0"/>
        <v>14013.7</v>
      </c>
      <c r="M23" s="471">
        <f t="shared" si="1"/>
        <v>2013.7000000000007</v>
      </c>
      <c r="O23" s="476" t="s">
        <v>551</v>
      </c>
    </row>
    <row r="24" spans="1:15" s="472" customFormat="1" ht="19.95" customHeight="1" x14ac:dyDescent="0.25">
      <c r="A24" s="474"/>
      <c r="B24" s="540" t="s">
        <v>552</v>
      </c>
      <c r="C24" s="552" t="s">
        <v>553</v>
      </c>
      <c r="E24" s="544">
        <v>15000</v>
      </c>
      <c r="G24" s="484"/>
      <c r="I24" s="471">
        <f t="shared" si="2"/>
        <v>15000</v>
      </c>
      <c r="K24" s="471">
        <f t="shared" si="0"/>
        <v>15000</v>
      </c>
      <c r="M24" s="471">
        <f t="shared" si="1"/>
        <v>0</v>
      </c>
      <c r="O24" s="476"/>
    </row>
    <row r="25" spans="1:15" s="472" customFormat="1" ht="19.95" customHeight="1" x14ac:dyDescent="0.25">
      <c r="A25" s="474"/>
      <c r="B25" s="540" t="s">
        <v>554</v>
      </c>
      <c r="C25" s="552" t="s">
        <v>555</v>
      </c>
      <c r="E25" s="544">
        <v>6725</v>
      </c>
      <c r="G25" s="484"/>
      <c r="I25" s="471">
        <f t="shared" si="2"/>
        <v>6725</v>
      </c>
      <c r="K25" s="471">
        <f t="shared" si="0"/>
        <v>6725</v>
      </c>
      <c r="M25" s="471">
        <f t="shared" si="1"/>
        <v>0</v>
      </c>
      <c r="O25" s="476"/>
    </row>
    <row r="26" spans="1:15" s="472" customFormat="1" ht="19.95" customHeight="1" x14ac:dyDescent="0.25">
      <c r="A26" s="474"/>
      <c r="B26" s="540" t="s">
        <v>556</v>
      </c>
      <c r="C26" s="541" t="s">
        <v>557</v>
      </c>
      <c r="E26" s="544">
        <v>13000</v>
      </c>
      <c r="G26" s="484"/>
      <c r="I26" s="471">
        <f t="shared" si="2"/>
        <v>13000</v>
      </c>
      <c r="K26" s="471">
        <f t="shared" si="0"/>
        <v>13000</v>
      </c>
      <c r="M26" s="471">
        <f t="shared" si="1"/>
        <v>0</v>
      </c>
      <c r="O26" s="476"/>
    </row>
    <row r="27" spans="1:15" s="472" customFormat="1" ht="19.95" customHeight="1" x14ac:dyDescent="0.25">
      <c r="A27" s="474"/>
      <c r="B27" s="540" t="s">
        <v>558</v>
      </c>
      <c r="C27" s="541" t="s">
        <v>559</v>
      </c>
      <c r="E27" s="544">
        <v>10000</v>
      </c>
      <c r="G27" s="536"/>
      <c r="I27" s="471">
        <f t="shared" si="2"/>
        <v>10000</v>
      </c>
      <c r="K27" s="471">
        <f t="shared" si="0"/>
        <v>10000</v>
      </c>
      <c r="M27" s="471">
        <f t="shared" si="1"/>
        <v>0</v>
      </c>
      <c r="O27" s="535"/>
    </row>
    <row r="28" spans="1:15" s="472" customFormat="1" ht="19.95" customHeight="1" x14ac:dyDescent="0.25">
      <c r="A28" s="474"/>
      <c r="B28" s="540" t="s">
        <v>560</v>
      </c>
      <c r="C28" s="827" t="s">
        <v>561</v>
      </c>
      <c r="E28" s="545">
        <v>5000</v>
      </c>
      <c r="G28" s="484"/>
      <c r="I28" s="471">
        <f t="shared" si="2"/>
        <v>5000</v>
      </c>
      <c r="K28" s="471">
        <f t="shared" si="0"/>
        <v>5000</v>
      </c>
      <c r="M28" s="471">
        <f t="shared" si="1"/>
        <v>0</v>
      </c>
      <c r="O28" s="476"/>
    </row>
    <row r="29" spans="1:15" s="472" customFormat="1" ht="19.95" customHeight="1" x14ac:dyDescent="0.25">
      <c r="A29" s="474"/>
      <c r="B29" s="540" t="s">
        <v>562</v>
      </c>
      <c r="C29" s="541" t="s">
        <v>563</v>
      </c>
      <c r="E29" s="544">
        <f>7000*0.5</f>
        <v>3500</v>
      </c>
      <c r="G29" s="471"/>
      <c r="I29" s="471">
        <f t="shared" si="2"/>
        <v>3500</v>
      </c>
      <c r="K29" s="471">
        <f t="shared" si="0"/>
        <v>3500</v>
      </c>
      <c r="M29" s="471">
        <f t="shared" si="1"/>
        <v>0</v>
      </c>
      <c r="O29" s="476"/>
    </row>
    <row r="30" spans="1:15" s="472" customFormat="1" ht="19.95" customHeight="1" x14ac:dyDescent="0.25">
      <c r="A30" s="474"/>
      <c r="B30" s="540" t="s">
        <v>564</v>
      </c>
      <c r="C30" s="828" t="s">
        <v>565</v>
      </c>
      <c r="E30" s="545">
        <v>7000</v>
      </c>
      <c r="G30" s="471"/>
      <c r="I30" s="471">
        <f t="shared" si="2"/>
        <v>7000</v>
      </c>
      <c r="K30" s="471">
        <f t="shared" si="0"/>
        <v>7000</v>
      </c>
      <c r="M30" s="471">
        <f t="shared" si="1"/>
        <v>0</v>
      </c>
      <c r="O30" s="476"/>
    </row>
    <row r="31" spans="1:15" s="472" customFormat="1" ht="19.95" customHeight="1" thickBot="1" x14ac:dyDescent="0.3">
      <c r="A31" s="474"/>
      <c r="B31" s="540" t="s">
        <v>566</v>
      </c>
      <c r="C31" s="553" t="s">
        <v>94</v>
      </c>
      <c r="E31" s="545">
        <v>12000</v>
      </c>
      <c r="G31" s="471"/>
      <c r="I31" s="471">
        <f t="shared" si="2"/>
        <v>12000</v>
      </c>
      <c r="K31" s="471">
        <f t="shared" si="0"/>
        <v>12000</v>
      </c>
      <c r="M31" s="471">
        <f t="shared" si="1"/>
        <v>0</v>
      </c>
      <c r="O31" s="476"/>
    </row>
    <row r="32" spans="1:15" s="472" customFormat="1" ht="19.95" customHeight="1" thickBot="1" x14ac:dyDescent="0.3">
      <c r="A32" s="474"/>
      <c r="B32" s="554" t="s">
        <v>567</v>
      </c>
      <c r="C32" s="553" t="s">
        <v>568</v>
      </c>
      <c r="E32" s="555">
        <v>6500</v>
      </c>
      <c r="G32" s="471">
        <f>3227+600</f>
        <v>3827</v>
      </c>
      <c r="I32" s="471">
        <f>+E32-G32</f>
        <v>2673</v>
      </c>
      <c r="K32" s="471">
        <f>G32+I32</f>
        <v>6500</v>
      </c>
      <c r="M32" s="471">
        <f t="shared" si="1"/>
        <v>0</v>
      </c>
      <c r="O32" s="476" t="s">
        <v>569</v>
      </c>
    </row>
    <row r="33" spans="1:15" s="472" customFormat="1" ht="19.95" hidden="1" customHeight="1" x14ac:dyDescent="0.25">
      <c r="A33" s="474"/>
      <c r="B33" s="483"/>
      <c r="C33" s="476"/>
      <c r="E33" s="471"/>
      <c r="G33" s="471"/>
      <c r="I33" s="471"/>
      <c r="K33" s="471"/>
      <c r="M33" s="471"/>
      <c r="O33" s="476"/>
    </row>
    <row r="34" spans="1:15" s="487" customFormat="1" ht="19.95" customHeight="1" x14ac:dyDescent="0.25">
      <c r="A34" s="485"/>
      <c r="B34" s="483"/>
      <c r="C34" s="486" t="s">
        <v>570</v>
      </c>
      <c r="E34" s="488">
        <f>SUM(E8:E32)</f>
        <v>256702.6</v>
      </c>
      <c r="G34" s="488">
        <f>SUM(G8:G32)</f>
        <v>53558.8</v>
      </c>
      <c r="I34" s="488">
        <f>SUM(I8:I32)</f>
        <v>205157.5</v>
      </c>
      <c r="K34" s="488">
        <f>SUM(K8:K32)</f>
        <v>258716.30000000002</v>
      </c>
      <c r="M34" s="488">
        <f>SUM(M8:M32)</f>
        <v>2013.7000000000007</v>
      </c>
      <c r="O34" s="486"/>
    </row>
    <row r="35" spans="1:15" ht="15" customHeight="1" x14ac:dyDescent="0.25">
      <c r="E35" s="489"/>
      <c r="F35" s="489"/>
      <c r="G35" s="489"/>
      <c r="I35" s="489"/>
      <c r="K35" s="489"/>
      <c r="M35" s="489"/>
    </row>
    <row r="36" spans="1:15" ht="15" customHeight="1" x14ac:dyDescent="0.25">
      <c r="E36" s="489"/>
      <c r="F36" s="489"/>
      <c r="G36" s="489"/>
      <c r="I36" s="490"/>
      <c r="K36" s="489"/>
      <c r="M36" s="489"/>
    </row>
    <row r="37" spans="1:15" ht="17.100000000000001" customHeight="1" x14ac:dyDescent="0.25">
      <c r="E37" s="489"/>
      <c r="F37" s="489"/>
      <c r="G37" s="489"/>
      <c r="I37" s="489"/>
      <c r="K37" s="489"/>
      <c r="M37" s="489"/>
      <c r="O37" s="556" t="s">
        <v>571</v>
      </c>
    </row>
  </sheetData>
  <mergeCells count="2">
    <mergeCell ref="B6:B7"/>
    <mergeCell ref="C6:C7"/>
  </mergeCells>
  <pageMargins left="1" right="1" top="1" bottom="1" header="0.5" footer="0.5"/>
  <pageSetup scale="72" orientation="landscape" r:id="rId1"/>
  <colBreaks count="1" manualBreakCount="1">
    <brk id="15" max="50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79625-F0E3-4727-B05A-F72B5EFAF663}">
  <sheetPr>
    <pageSetUpPr fitToPage="1"/>
  </sheetPr>
  <dimension ref="A2:Q23"/>
  <sheetViews>
    <sheetView topLeftCell="A2" zoomScale="140" zoomScaleNormal="140" workbookViewId="0">
      <selection activeCell="T19" sqref="T19"/>
    </sheetView>
  </sheetViews>
  <sheetFormatPr defaultColWidth="9.109375" defaultRowHeight="13.2" x14ac:dyDescent="0.25"/>
  <cols>
    <col min="1" max="1" width="1" style="459" customWidth="1"/>
    <col min="2" max="2" width="12.109375" style="459" hidden="1" customWidth="1"/>
    <col min="3" max="3" width="67.6640625" style="461" customWidth="1"/>
    <col min="4" max="4" width="1" style="461" customWidth="1"/>
    <col min="5" max="5" width="9.88671875" style="461" bestFit="1" customWidth="1"/>
    <col min="6" max="6" width="1.21875" style="461" customWidth="1"/>
    <col min="7" max="7" width="15.109375" style="461" bestFit="1" customWidth="1"/>
    <col min="8" max="8" width="0.88671875" style="461" customWidth="1"/>
    <col min="9" max="9" width="12.6640625" style="461" customWidth="1"/>
    <col min="10" max="10" width="1.109375" style="493" customWidth="1"/>
    <col min="11" max="11" width="12.6640625" style="461" customWidth="1"/>
    <col min="12" max="12" width="1.44140625" style="493" hidden="1" customWidth="1"/>
    <col min="13" max="13" width="12.33203125" style="461" hidden="1" customWidth="1"/>
    <col min="14" max="15" width="2.6640625" style="493" hidden="1" customWidth="1"/>
    <col min="16" max="16" width="70.44140625" style="461" hidden="1" customWidth="1"/>
    <col min="17" max="17" width="0" style="461" hidden="1" customWidth="1"/>
    <col min="18" max="16384" width="9.109375" style="461"/>
  </cols>
  <sheetData>
    <row r="2" spans="1:17" x14ac:dyDescent="0.25">
      <c r="C2" s="421" t="s">
        <v>113</v>
      </c>
      <c r="D2" s="460"/>
      <c r="E2" s="460"/>
      <c r="G2" s="460"/>
      <c r="H2" s="460"/>
      <c r="I2" s="460"/>
      <c r="J2" s="460"/>
      <c r="K2" s="460"/>
      <c r="L2" s="460"/>
      <c r="M2" s="460"/>
      <c r="N2" s="460"/>
      <c r="O2" s="460"/>
      <c r="P2" s="492"/>
      <c r="Q2" s="460"/>
    </row>
    <row r="3" spans="1:17" ht="3" customHeight="1" x14ac:dyDescent="0.25"/>
    <row r="4" spans="1:17" x14ac:dyDescent="0.25">
      <c r="C4" s="460" t="s">
        <v>572</v>
      </c>
      <c r="D4" s="460"/>
      <c r="E4" s="460"/>
      <c r="G4" s="460"/>
    </row>
    <row r="5" spans="1:17" x14ac:dyDescent="0.25">
      <c r="C5" s="460"/>
      <c r="D5" s="460"/>
      <c r="E5" s="494" t="s">
        <v>116</v>
      </c>
      <c r="G5" s="494" t="s">
        <v>124</v>
      </c>
      <c r="I5" s="463" t="s">
        <v>118</v>
      </c>
      <c r="J5" s="495"/>
      <c r="K5" s="463" t="s">
        <v>118</v>
      </c>
      <c r="L5" s="495"/>
      <c r="M5" s="463" t="s">
        <v>377</v>
      </c>
      <c r="N5" s="495"/>
      <c r="O5" s="495"/>
      <c r="P5" s="494"/>
    </row>
    <row r="6" spans="1:17" ht="15" customHeight="1" x14ac:dyDescent="0.25">
      <c r="B6" s="496" t="s">
        <v>125</v>
      </c>
      <c r="C6" s="496" t="s">
        <v>126</v>
      </c>
      <c r="D6" s="462"/>
      <c r="E6" s="497">
        <v>2025</v>
      </c>
      <c r="G6" s="498" t="s">
        <v>661</v>
      </c>
      <c r="I6" s="469" t="s">
        <v>120</v>
      </c>
      <c r="J6" s="495"/>
      <c r="K6" s="469" t="s">
        <v>121</v>
      </c>
      <c r="L6" s="495"/>
      <c r="M6" s="469" t="s">
        <v>116</v>
      </c>
      <c r="N6" s="495"/>
      <c r="O6" s="495"/>
      <c r="P6" s="499" t="s">
        <v>123</v>
      </c>
    </row>
    <row r="7" spans="1:17" ht="19.95" customHeight="1" x14ac:dyDescent="0.25">
      <c r="B7" s="557" t="s">
        <v>573</v>
      </c>
      <c r="C7" s="432" t="s">
        <v>574</v>
      </c>
      <c r="E7" s="558">
        <f>'[7]Capex Detail'!E11</f>
        <v>165000</v>
      </c>
      <c r="F7" s="493"/>
      <c r="G7" s="471"/>
      <c r="I7" s="471">
        <f>+E7-G7</f>
        <v>165000</v>
      </c>
      <c r="J7" s="472"/>
      <c r="K7" s="500">
        <f>G7+I7</f>
        <v>165000</v>
      </c>
      <c r="L7" s="501"/>
      <c r="M7" s="500">
        <f>K7-E7</f>
        <v>0</v>
      </c>
      <c r="N7" s="501"/>
      <c r="O7" s="501"/>
      <c r="P7" s="473"/>
    </row>
    <row r="8" spans="1:17" ht="19.95" customHeight="1" x14ac:dyDescent="0.25">
      <c r="B8" s="557" t="s">
        <v>575</v>
      </c>
      <c r="C8" s="438" t="s">
        <v>424</v>
      </c>
      <c r="D8" s="472"/>
      <c r="E8" s="559">
        <v>28372</v>
      </c>
      <c r="G8" s="471">
        <f>28371.5</f>
        <v>28371.5</v>
      </c>
      <c r="I8" s="471">
        <f>+E8-G8</f>
        <v>0.5</v>
      </c>
      <c r="J8" s="472"/>
      <c r="K8" s="500">
        <f t="shared" ref="K8:K12" si="0">G8+I8</f>
        <v>28372</v>
      </c>
      <c r="L8" s="461"/>
      <c r="M8" s="500">
        <f t="shared" ref="M8:M16" si="1">K8-E8</f>
        <v>0</v>
      </c>
      <c r="N8" s="461"/>
      <c r="O8" s="502"/>
      <c r="P8" s="535" t="s">
        <v>576</v>
      </c>
    </row>
    <row r="9" spans="1:17" s="472" customFormat="1" ht="19.95" customHeight="1" x14ac:dyDescent="0.25">
      <c r="A9" s="474"/>
      <c r="B9" s="557" t="s">
        <v>577</v>
      </c>
      <c r="C9" s="439" t="s">
        <v>430</v>
      </c>
      <c r="E9" s="559">
        <v>15000</v>
      </c>
      <c r="G9" s="471"/>
      <c r="I9" s="471">
        <f t="shared" ref="I9:I13" si="2">+E9-G9</f>
        <v>15000</v>
      </c>
      <c r="K9" s="500">
        <f t="shared" si="0"/>
        <v>15000</v>
      </c>
      <c r="M9" s="500">
        <f t="shared" si="1"/>
        <v>0</v>
      </c>
      <c r="O9" s="503"/>
      <c r="P9" s="473"/>
    </row>
    <row r="10" spans="1:17" s="472" customFormat="1" ht="19.95" customHeight="1" x14ac:dyDescent="0.25">
      <c r="A10" s="474"/>
      <c r="B10" s="557" t="s">
        <v>578</v>
      </c>
      <c r="C10" s="560" t="s">
        <v>579</v>
      </c>
      <c r="E10" s="559">
        <v>20000</v>
      </c>
      <c r="G10" s="471"/>
      <c r="I10" s="471">
        <f t="shared" si="2"/>
        <v>20000</v>
      </c>
      <c r="K10" s="500">
        <f t="shared" si="0"/>
        <v>20000</v>
      </c>
      <c r="M10" s="500">
        <f t="shared" si="1"/>
        <v>0</v>
      </c>
      <c r="O10" s="503"/>
      <c r="P10" s="483"/>
    </row>
    <row r="11" spans="1:17" s="472" customFormat="1" ht="19.95" customHeight="1" x14ac:dyDescent="0.25">
      <c r="A11" s="474"/>
      <c r="B11" s="557" t="s">
        <v>580</v>
      </c>
      <c r="C11" s="439" t="s">
        <v>581</v>
      </c>
      <c r="E11" s="559">
        <v>50000</v>
      </c>
      <c r="G11" s="471"/>
      <c r="I11" s="471">
        <f t="shared" si="2"/>
        <v>50000</v>
      </c>
      <c r="K11" s="500">
        <f t="shared" si="0"/>
        <v>50000</v>
      </c>
      <c r="M11" s="500">
        <f t="shared" si="1"/>
        <v>0</v>
      </c>
      <c r="O11" s="503"/>
      <c r="P11" s="476"/>
    </row>
    <row r="12" spans="1:17" s="472" customFormat="1" ht="19.95" customHeight="1" x14ac:dyDescent="0.25">
      <c r="A12" s="474"/>
      <c r="B12" s="561" t="s">
        <v>582</v>
      </c>
      <c r="C12" s="562" t="s">
        <v>583</v>
      </c>
      <c r="E12" s="559">
        <v>95000</v>
      </c>
      <c r="G12" s="471">
        <v>85792.83</v>
      </c>
      <c r="I12" s="471">
        <f t="shared" si="2"/>
        <v>9207.1699999999983</v>
      </c>
      <c r="K12" s="500">
        <f t="shared" si="0"/>
        <v>95000</v>
      </c>
      <c r="M12" s="500">
        <f t="shared" si="1"/>
        <v>0</v>
      </c>
      <c r="O12" s="503"/>
      <c r="P12" s="563" t="s">
        <v>584</v>
      </c>
    </row>
    <row r="13" spans="1:17" s="472" customFormat="1" ht="19.95" customHeight="1" x14ac:dyDescent="0.25">
      <c r="A13" s="474"/>
      <c r="B13" s="437"/>
      <c r="C13" s="439"/>
      <c r="E13" s="500"/>
      <c r="G13" s="471"/>
      <c r="I13" s="471">
        <f t="shared" si="2"/>
        <v>0</v>
      </c>
      <c r="K13" s="500">
        <v>0</v>
      </c>
      <c r="M13" s="500">
        <f t="shared" si="1"/>
        <v>0</v>
      </c>
      <c r="O13" s="503"/>
      <c r="P13" s="535"/>
    </row>
    <row r="14" spans="1:17" s="472" customFormat="1" ht="19.95" customHeight="1" x14ac:dyDescent="0.25">
      <c r="A14" s="474"/>
      <c r="B14" s="483"/>
      <c r="C14" s="476"/>
      <c r="E14" s="500"/>
      <c r="G14" s="471"/>
      <c r="I14" s="471"/>
      <c r="K14" s="500">
        <f t="shared" ref="K14:K15" si="3">G14+I14</f>
        <v>0</v>
      </c>
      <c r="M14" s="500">
        <f t="shared" si="1"/>
        <v>0</v>
      </c>
      <c r="P14" s="483"/>
    </row>
    <row r="15" spans="1:17" s="472" customFormat="1" ht="19.95" customHeight="1" x14ac:dyDescent="0.25">
      <c r="A15" s="474"/>
      <c r="B15" s="483"/>
      <c r="C15" s="435"/>
      <c r="E15" s="500"/>
      <c r="G15" s="471"/>
      <c r="I15" s="471"/>
      <c r="K15" s="500">
        <f t="shared" si="3"/>
        <v>0</v>
      </c>
      <c r="M15" s="500">
        <f t="shared" si="1"/>
        <v>0</v>
      </c>
      <c r="P15" s="473"/>
    </row>
    <row r="16" spans="1:17" ht="19.95" customHeight="1" x14ac:dyDescent="0.25">
      <c r="B16" s="483"/>
      <c r="C16" s="476"/>
      <c r="D16" s="472"/>
      <c r="E16" s="504"/>
      <c r="F16" s="472"/>
      <c r="G16" s="471"/>
      <c r="H16" s="472"/>
      <c r="I16" s="471"/>
      <c r="J16" s="472"/>
      <c r="K16" s="500">
        <f>+E16</f>
        <v>0</v>
      </c>
      <c r="L16" s="472"/>
      <c r="M16" s="500">
        <f t="shared" si="1"/>
        <v>0</v>
      </c>
      <c r="N16" s="472"/>
      <c r="O16" s="472"/>
      <c r="P16" s="476"/>
    </row>
    <row r="17" spans="1:16" s="487" customFormat="1" ht="15" customHeight="1" x14ac:dyDescent="0.25">
      <c r="A17" s="485"/>
      <c r="B17" s="485"/>
      <c r="C17" s="486" t="s">
        <v>585</v>
      </c>
      <c r="E17" s="488">
        <f>SUM(E7:E16)</f>
        <v>373372</v>
      </c>
      <c r="F17" s="505"/>
      <c r="G17" s="488">
        <f>SUM(G7:G16)</f>
        <v>114164.33</v>
      </c>
      <c r="I17" s="488">
        <f>SUM(I7:I16)</f>
        <v>259207.66999999998</v>
      </c>
      <c r="J17" s="505"/>
      <c r="K17" s="488">
        <f>SUM(K7:K16)</f>
        <v>373372</v>
      </c>
      <c r="L17" s="506"/>
      <c r="M17" s="488">
        <f>SUM(M7:M16)</f>
        <v>0</v>
      </c>
      <c r="N17" s="506"/>
      <c r="O17" s="506"/>
    </row>
    <row r="18" spans="1:16" s="487" customFormat="1" ht="15" customHeight="1" x14ac:dyDescent="0.25">
      <c r="A18" s="485"/>
      <c r="B18" s="485"/>
      <c r="E18" s="507"/>
      <c r="F18" s="505"/>
      <c r="G18" s="508"/>
      <c r="I18" s="507"/>
      <c r="J18" s="505"/>
      <c r="K18" s="507"/>
      <c r="L18" s="506"/>
      <c r="M18" s="507"/>
      <c r="N18" s="506"/>
      <c r="O18" s="506"/>
    </row>
    <row r="19" spans="1:16" ht="15" x14ac:dyDescent="0.25">
      <c r="P19" s="564" t="s">
        <v>586</v>
      </c>
    </row>
    <row r="23" spans="1:16" x14ac:dyDescent="0.25">
      <c r="I23" s="509"/>
    </row>
  </sheetData>
  <pageMargins left="1" right="1" top="1" bottom="1" header="0.5" footer="0.5"/>
  <pageSetup scale="93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27DCD-D7B5-4F85-B24C-A019E054CE6F}">
  <dimension ref="A2:P38"/>
  <sheetViews>
    <sheetView zoomScale="110" zoomScaleNormal="110" workbookViewId="0">
      <selection activeCell="O14" sqref="O14"/>
    </sheetView>
  </sheetViews>
  <sheetFormatPr defaultColWidth="9.109375" defaultRowHeight="13.2" x14ac:dyDescent="0.25"/>
  <cols>
    <col min="1" max="1" width="1.6640625" style="457" customWidth="1"/>
    <col min="2" max="3" width="9.109375" style="440" hidden="1" customWidth="1"/>
    <col min="4" max="5" width="12.88671875" style="440" hidden="1" customWidth="1"/>
    <col min="6" max="7" width="14.6640625" style="440" hidden="1" customWidth="1"/>
    <col min="8" max="8" width="4" style="440" customWidth="1"/>
    <col min="9" max="10" width="9.109375" style="440"/>
    <col min="11" max="11" width="12.88671875" style="440" bestFit="1" customWidth="1"/>
    <col min="12" max="12" width="11.5546875" style="440" customWidth="1"/>
    <col min="13" max="15" width="14.6640625" style="440" customWidth="1"/>
    <col min="16" max="16" width="31" style="440" customWidth="1"/>
    <col min="17" max="17" width="10.33203125" style="440" bestFit="1" customWidth="1"/>
    <col min="18" max="16384" width="9.109375" style="440"/>
  </cols>
  <sheetData>
    <row r="2" spans="2:16" x14ac:dyDescent="0.25">
      <c r="C2" s="441"/>
      <c r="D2" s="441"/>
      <c r="E2" s="441"/>
      <c r="F2" s="441"/>
      <c r="G2" s="441"/>
      <c r="H2" s="441"/>
      <c r="I2" s="441" t="s">
        <v>113</v>
      </c>
      <c r="J2" s="441"/>
      <c r="K2" s="441"/>
      <c r="L2" s="441"/>
      <c r="M2" s="441"/>
    </row>
    <row r="4" spans="2:16" x14ac:dyDescent="0.25">
      <c r="C4" s="441"/>
      <c r="D4" s="441"/>
      <c r="E4" s="441"/>
      <c r="F4" s="441"/>
      <c r="G4" s="441"/>
      <c r="H4" s="441"/>
      <c r="I4" s="441" t="s">
        <v>587</v>
      </c>
      <c r="J4" s="441"/>
      <c r="K4" s="441"/>
      <c r="L4" s="441"/>
      <c r="M4" s="441"/>
    </row>
    <row r="6" spans="2:16" x14ac:dyDescent="0.25">
      <c r="B6" s="793" t="s">
        <v>127</v>
      </c>
      <c r="C6" s="793"/>
      <c r="D6" s="793"/>
      <c r="E6" s="793"/>
      <c r="F6" s="793"/>
      <c r="G6" s="793"/>
      <c r="I6" s="443" t="s">
        <v>128</v>
      </c>
      <c r="J6" s="443"/>
      <c r="K6" s="443"/>
      <c r="L6" s="443"/>
      <c r="M6" s="442" t="s">
        <v>129</v>
      </c>
      <c r="N6" s="442" t="s">
        <v>130</v>
      </c>
      <c r="O6" s="442" t="s">
        <v>131</v>
      </c>
    </row>
    <row r="8" spans="2:16" x14ac:dyDescent="0.25">
      <c r="B8" s="441" t="s">
        <v>132</v>
      </c>
      <c r="C8" s="441"/>
      <c r="D8" s="441"/>
      <c r="E8" s="441"/>
      <c r="F8" s="444">
        <v>-26726</v>
      </c>
      <c r="G8" s="444">
        <v>-26726</v>
      </c>
      <c r="I8" s="441" t="s">
        <v>588</v>
      </c>
      <c r="J8" s="441"/>
      <c r="K8" s="441"/>
      <c r="L8" s="441"/>
      <c r="M8" s="444">
        <f>17996.68</f>
        <v>17996.68</v>
      </c>
      <c r="N8" s="444">
        <f>838411.68+0.72</f>
        <v>838412.4</v>
      </c>
      <c r="O8" s="445">
        <f>SUM(M8:N8)</f>
        <v>856409.08000000007</v>
      </c>
      <c r="P8" s="446"/>
    </row>
    <row r="9" spans="2:16" x14ac:dyDescent="0.25">
      <c r="F9" s="447"/>
      <c r="G9" s="447"/>
      <c r="M9" s="447"/>
      <c r="N9" s="447"/>
      <c r="O9" s="445"/>
      <c r="P9" s="565"/>
    </row>
    <row r="10" spans="2:16" x14ac:dyDescent="0.25">
      <c r="B10" s="448" t="s">
        <v>133</v>
      </c>
      <c r="E10" s="449">
        <v>0.42</v>
      </c>
      <c r="F10" s="450">
        <v>6444</v>
      </c>
      <c r="G10" s="450">
        <v>6444</v>
      </c>
      <c r="I10" s="441" t="s">
        <v>589</v>
      </c>
      <c r="L10" s="451"/>
      <c r="M10" s="445">
        <f>16456+16456+16456</f>
        <v>49368</v>
      </c>
      <c r="N10" s="445">
        <f>27423+27423+27423</f>
        <v>82269</v>
      </c>
      <c r="O10" s="445">
        <f>SUM(M10:N10)</f>
        <v>131637</v>
      </c>
    </row>
    <row r="11" spans="2:16" x14ac:dyDescent="0.25">
      <c r="B11" s="448" t="s">
        <v>134</v>
      </c>
      <c r="E11" s="449">
        <v>0.42</v>
      </c>
      <c r="F11" s="450">
        <v>6444</v>
      </c>
      <c r="G11" s="450">
        <v>6444</v>
      </c>
      <c r="I11" s="448"/>
      <c r="L11" s="449"/>
      <c r="M11" s="450"/>
      <c r="N11" s="450"/>
      <c r="O11" s="445"/>
    </row>
    <row r="12" spans="2:16" x14ac:dyDescent="0.25">
      <c r="B12" s="448" t="s">
        <v>135</v>
      </c>
      <c r="E12" s="449">
        <v>0.42</v>
      </c>
      <c r="F12" s="450">
        <v>6444</v>
      </c>
      <c r="G12" s="450">
        <v>6444</v>
      </c>
      <c r="I12" s="441" t="s">
        <v>590</v>
      </c>
      <c r="L12" s="451"/>
      <c r="M12" s="444">
        <f>-'[8]CAPITAL 2025 BUDGET'!G34</f>
        <v>-53558.8</v>
      </c>
      <c r="N12" s="444">
        <f>-'[8]MAJOR 2025 BUDGET'!G17</f>
        <v>-114164.33</v>
      </c>
      <c r="O12" s="445">
        <f>SUM(M12:N12)</f>
        <v>-167723.13</v>
      </c>
    </row>
    <row r="13" spans="2:16" ht="13.8" thickBot="1" x14ac:dyDescent="0.3">
      <c r="B13" s="448" t="s">
        <v>136</v>
      </c>
      <c r="E13" s="449">
        <v>0.42</v>
      </c>
      <c r="F13" s="450">
        <v>6444</v>
      </c>
      <c r="G13" s="450">
        <v>6444</v>
      </c>
      <c r="I13" s="448"/>
      <c r="L13" s="449"/>
      <c r="M13" s="450"/>
      <c r="N13" s="447"/>
      <c r="O13" s="447"/>
    </row>
    <row r="14" spans="2:16" ht="14.4" thickTop="1" thickBot="1" x14ac:dyDescent="0.3">
      <c r="B14" s="448" t="s">
        <v>137</v>
      </c>
      <c r="E14" s="449">
        <v>0.42</v>
      </c>
      <c r="F14" s="450">
        <v>6444</v>
      </c>
      <c r="G14" s="450">
        <v>6444</v>
      </c>
      <c r="I14" s="452" t="s">
        <v>591</v>
      </c>
      <c r="J14" s="452"/>
      <c r="K14" s="452"/>
      <c r="L14" s="452"/>
      <c r="M14" s="453">
        <f>SUM(M8:M12)</f>
        <v>13805.87999999999</v>
      </c>
      <c r="N14" s="453">
        <f>SUM(N8:N12)</f>
        <v>806517.07000000007</v>
      </c>
      <c r="O14" s="453">
        <f>SUM(M14:N14)</f>
        <v>820322.95000000007</v>
      </c>
      <c r="P14" s="454"/>
    </row>
    <row r="15" spans="2:16" ht="13.8" thickTop="1" x14ac:dyDescent="0.25">
      <c r="I15" s="441"/>
      <c r="J15" s="510"/>
      <c r="K15" s="510"/>
      <c r="L15" s="511"/>
      <c r="M15" s="512"/>
      <c r="N15" s="513"/>
      <c r="O15" s="513"/>
      <c r="P15" s="510"/>
    </row>
    <row r="16" spans="2:16" ht="14.4" x14ac:dyDescent="0.3">
      <c r="I16" s="566" t="s">
        <v>592</v>
      </c>
      <c r="J16" s="567"/>
      <c r="K16" s="567"/>
      <c r="L16" s="511"/>
      <c r="M16" s="514">
        <f>16456*9</f>
        <v>148104</v>
      </c>
      <c r="N16" s="514">
        <f>27423*9</f>
        <v>246807</v>
      </c>
      <c r="O16" s="514">
        <f>SUM(M16:N16)</f>
        <v>394911</v>
      </c>
      <c r="P16" s="510"/>
    </row>
    <row r="17" spans="9:15" x14ac:dyDescent="0.25">
      <c r="I17" s="441"/>
      <c r="J17" s="510"/>
      <c r="K17" s="510"/>
      <c r="L17" s="511"/>
      <c r="M17" s="512"/>
      <c r="N17" s="513"/>
      <c r="O17" s="513"/>
    </row>
    <row r="18" spans="9:15" x14ac:dyDescent="0.25">
      <c r="I18" s="566" t="s">
        <v>593</v>
      </c>
      <c r="J18" s="510"/>
      <c r="K18" s="510"/>
      <c r="L18" s="510"/>
      <c r="M18" s="514">
        <f>-'[8]CAPITAL 2025 BUDGET'!I34</f>
        <v>-195157.5</v>
      </c>
      <c r="N18" s="514">
        <f>-'[8]MAJOR 2025 BUDGET'!I17</f>
        <v>-259207.66999999998</v>
      </c>
      <c r="O18" s="514">
        <f>SUM(M18:N18)</f>
        <v>-454365.17</v>
      </c>
    </row>
    <row r="19" spans="9:15" ht="13.8" thickBot="1" x14ac:dyDescent="0.3">
      <c r="I19" s="510"/>
      <c r="J19" s="510"/>
      <c r="K19" s="510"/>
      <c r="L19" s="510"/>
      <c r="M19" s="513"/>
      <c r="N19" s="513"/>
      <c r="O19" s="514"/>
    </row>
    <row r="20" spans="9:15" ht="14.4" thickTop="1" thickBot="1" x14ac:dyDescent="0.3">
      <c r="I20" s="568" t="s">
        <v>594</v>
      </c>
      <c r="J20" s="515"/>
      <c r="K20" s="515"/>
      <c r="L20" s="515"/>
      <c r="M20" s="516">
        <f>SUM(M14:M18)</f>
        <v>-33247.619999999995</v>
      </c>
      <c r="N20" s="516">
        <f t="shared" ref="N20:O20" si="0">SUM(N14:N18)</f>
        <v>794116.40000000014</v>
      </c>
      <c r="O20" s="516">
        <f t="shared" si="0"/>
        <v>760868.78000000026</v>
      </c>
    </row>
    <row r="21" spans="9:15" ht="13.8" thickTop="1" x14ac:dyDescent="0.25">
      <c r="M21" s="447"/>
      <c r="N21" s="447"/>
      <c r="O21" s="447"/>
    </row>
    <row r="22" spans="9:15" x14ac:dyDescent="0.25">
      <c r="M22" s="447"/>
      <c r="N22" s="447"/>
      <c r="O22" s="447"/>
    </row>
    <row r="23" spans="9:15" x14ac:dyDescent="0.25">
      <c r="M23" s="447"/>
      <c r="N23" s="447"/>
      <c r="O23" s="447"/>
    </row>
    <row r="24" spans="9:15" ht="15" x14ac:dyDescent="0.25">
      <c r="I24" s="564" t="s">
        <v>595</v>
      </c>
      <c r="M24" s="447"/>
      <c r="N24" s="447"/>
      <c r="O24" s="447"/>
    </row>
    <row r="38" spans="15:16" ht="17.399999999999999" x14ac:dyDescent="0.3">
      <c r="O38" s="455"/>
      <c r="P38" s="456"/>
    </row>
  </sheetData>
  <mergeCells count="1">
    <mergeCell ref="B6:G6"/>
  </mergeCells>
  <pageMargins left="0.17" right="0.22" top="0.75" bottom="0.71" header="0.3" footer="0.3"/>
  <pageSetup scale="9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D27C7-DB6E-497E-B0DF-82118EF4DAAA}">
  <dimension ref="B2:E28"/>
  <sheetViews>
    <sheetView view="pageBreakPreview" zoomScaleNormal="100" zoomScaleSheetLayoutView="100" workbookViewId="0">
      <selection activeCell="B11" sqref="B11"/>
    </sheetView>
  </sheetViews>
  <sheetFormatPr defaultRowHeight="14.4" x14ac:dyDescent="0.3"/>
  <cols>
    <col min="2" max="2" width="46.109375" customWidth="1"/>
    <col min="3" max="3" width="12.6640625" customWidth="1"/>
  </cols>
  <sheetData>
    <row r="2" spans="2:5" x14ac:dyDescent="0.3">
      <c r="B2" s="361" t="s">
        <v>217</v>
      </c>
      <c r="C2" s="234"/>
    </row>
    <row r="3" spans="2:5" x14ac:dyDescent="0.3">
      <c r="B3" s="234"/>
      <c r="C3" s="234"/>
    </row>
    <row r="4" spans="2:5" x14ac:dyDescent="0.3">
      <c r="B4" s="362" t="s">
        <v>596</v>
      </c>
      <c r="C4" s="234"/>
    </row>
    <row r="5" spans="2:5" x14ac:dyDescent="0.3">
      <c r="B5" s="234"/>
      <c r="C5" s="234"/>
    </row>
    <row r="6" spans="2:5" x14ac:dyDescent="0.3">
      <c r="B6" s="234"/>
      <c r="C6" s="234"/>
    </row>
    <row r="7" spans="2:5" x14ac:dyDescent="0.3">
      <c r="B7" s="234" t="s">
        <v>218</v>
      </c>
      <c r="C7" s="359">
        <v>820322.95</v>
      </c>
      <c r="E7" t="s">
        <v>597</v>
      </c>
    </row>
    <row r="8" spans="2:5" x14ac:dyDescent="0.3">
      <c r="B8" s="363" t="s">
        <v>219</v>
      </c>
      <c r="C8" s="364">
        <f>-688758.19</f>
        <v>-688758.19</v>
      </c>
      <c r="E8" s="517" t="s">
        <v>598</v>
      </c>
    </row>
    <row r="9" spans="2:5" x14ac:dyDescent="0.3">
      <c r="B9" s="365" t="s">
        <v>220</v>
      </c>
      <c r="C9" s="366">
        <f>SUM(C7:C8)</f>
        <v>131564.76</v>
      </c>
    </row>
    <row r="10" spans="2:5" x14ac:dyDescent="0.3">
      <c r="B10" s="234"/>
      <c r="C10" s="359"/>
    </row>
    <row r="11" spans="2:5" x14ac:dyDescent="0.3">
      <c r="B11" s="234" t="s">
        <v>221</v>
      </c>
      <c r="C11" s="359">
        <v>-181495</v>
      </c>
      <c r="E11" s="517" t="s">
        <v>599</v>
      </c>
    </row>
    <row r="12" spans="2:5" x14ac:dyDescent="0.3">
      <c r="B12" s="234" t="s">
        <v>439</v>
      </c>
      <c r="C12" s="359">
        <v>0</v>
      </c>
      <c r="E12" s="517"/>
    </row>
    <row r="13" spans="2:5" x14ac:dyDescent="0.3">
      <c r="B13" s="234" t="s">
        <v>222</v>
      </c>
      <c r="C13" s="359">
        <v>42059.15</v>
      </c>
      <c r="E13" s="517" t="s">
        <v>600</v>
      </c>
    </row>
    <row r="14" spans="2:5" x14ac:dyDescent="0.3">
      <c r="B14" s="363" t="s">
        <v>223</v>
      </c>
      <c r="C14" s="364">
        <f>-56108.7</f>
        <v>-56108.7</v>
      </c>
      <c r="E14" s="517" t="s">
        <v>601</v>
      </c>
    </row>
    <row r="15" spans="2:5" x14ac:dyDescent="0.3">
      <c r="B15" s="365" t="s">
        <v>224</v>
      </c>
      <c r="C15" s="366">
        <f>SUM(C11:C14)</f>
        <v>-195544.55</v>
      </c>
    </row>
    <row r="16" spans="2:5" ht="15" thickBot="1" x14ac:dyDescent="0.35">
      <c r="B16" s="234"/>
      <c r="C16" s="359"/>
    </row>
    <row r="17" spans="2:4" ht="15" thickTop="1" x14ac:dyDescent="0.3">
      <c r="B17" s="367" t="s">
        <v>225</v>
      </c>
      <c r="C17" s="368">
        <f>C9+C15</f>
        <v>-63979.789999999979</v>
      </c>
    </row>
    <row r="18" spans="2:4" ht="15" thickBot="1" x14ac:dyDescent="0.35">
      <c r="B18" s="369" t="s">
        <v>226</v>
      </c>
      <c r="C18" s="370"/>
      <c r="D18" t="s">
        <v>227</v>
      </c>
    </row>
    <row r="19" spans="2:4" ht="15" thickTop="1" x14ac:dyDescent="0.3">
      <c r="B19" s="234"/>
      <c r="C19" s="359"/>
    </row>
    <row r="20" spans="2:4" x14ac:dyDescent="0.3">
      <c r="B20" s="234"/>
      <c r="C20" s="359"/>
    </row>
    <row r="21" spans="2:4" x14ac:dyDescent="0.3">
      <c r="B21" s="234"/>
      <c r="C21" s="359"/>
    </row>
    <row r="22" spans="2:4" x14ac:dyDescent="0.3">
      <c r="B22" s="234"/>
      <c r="C22" s="359"/>
    </row>
    <row r="23" spans="2:4" x14ac:dyDescent="0.3">
      <c r="C23" s="371"/>
    </row>
    <row r="24" spans="2:4" x14ac:dyDescent="0.3">
      <c r="C24" s="341"/>
    </row>
    <row r="25" spans="2:4" x14ac:dyDescent="0.3">
      <c r="C25" s="341"/>
    </row>
    <row r="26" spans="2:4" x14ac:dyDescent="0.3">
      <c r="C26" s="341"/>
    </row>
    <row r="27" spans="2:4" x14ac:dyDescent="0.3">
      <c r="C27" s="341"/>
    </row>
    <row r="28" spans="2:4" x14ac:dyDescent="0.3">
      <c r="C28" s="341"/>
    </row>
  </sheetData>
  <pageMargins left="0.7" right="0.7" top="0.75" bottom="0.75" header="0.3" footer="0.3"/>
  <pageSetup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5D010-45E3-4867-A809-FE0ABB51BF58}">
  <dimension ref="B2:L12"/>
  <sheetViews>
    <sheetView zoomScale="120" zoomScaleNormal="120" workbookViewId="0">
      <selection activeCell="D22" sqref="D22"/>
    </sheetView>
  </sheetViews>
  <sheetFormatPr defaultColWidth="9.109375" defaultRowHeight="14.4" x14ac:dyDescent="0.3"/>
  <cols>
    <col min="1" max="1" width="1.6640625" style="332" customWidth="1"/>
    <col min="2" max="2" width="36.5546875" style="332" customWidth="1"/>
    <col min="3" max="4" width="12.6640625" style="332" customWidth="1"/>
    <col min="5" max="5" width="6.44140625" style="332" customWidth="1"/>
    <col min="6" max="8" width="11.6640625" style="332" customWidth="1"/>
    <col min="9" max="9" width="7.44140625" style="332" customWidth="1"/>
    <col min="10" max="10" width="3.6640625" style="332" customWidth="1"/>
    <col min="11" max="12" width="10.6640625" style="332" customWidth="1"/>
    <col min="13" max="13" width="11.44140625" style="332" bestFit="1" customWidth="1"/>
    <col min="14" max="14" width="11.109375" style="332" customWidth="1"/>
    <col min="15" max="16384" width="9.109375" style="332"/>
  </cols>
  <sheetData>
    <row r="2" spans="2:12" ht="15" thickBot="1" x14ac:dyDescent="0.35">
      <c r="B2" s="330" t="s">
        <v>210</v>
      </c>
      <c r="C2" s="330"/>
      <c r="D2" s="330"/>
      <c r="E2" s="330"/>
      <c r="F2" s="331"/>
      <c r="G2" s="331"/>
      <c r="H2" s="331"/>
      <c r="I2" s="331"/>
      <c r="J2" s="331"/>
      <c r="K2" s="331"/>
    </row>
    <row r="3" spans="2:12" ht="15" thickTop="1" x14ac:dyDescent="0.3">
      <c r="E3" s="333"/>
      <c r="F3" s="334"/>
      <c r="G3" s="334"/>
      <c r="H3" s="334"/>
      <c r="I3" s="334"/>
      <c r="J3" s="334"/>
    </row>
    <row r="4" spans="2:12" x14ac:dyDescent="0.3">
      <c r="C4" s="795"/>
      <c r="D4" s="795"/>
      <c r="E4" s="335"/>
      <c r="F4" s="795"/>
      <c r="G4" s="795"/>
      <c r="H4" s="795"/>
      <c r="I4" s="795"/>
      <c r="J4" s="335"/>
      <c r="K4" s="794"/>
      <c r="L4" s="794"/>
    </row>
    <row r="5" spans="2:12" x14ac:dyDescent="0.3">
      <c r="B5" s="336" t="s">
        <v>211</v>
      </c>
      <c r="C5" s="337">
        <v>2024</v>
      </c>
      <c r="D5" s="337">
        <v>2025</v>
      </c>
      <c r="E5" s="338"/>
      <c r="F5" s="337">
        <v>2024</v>
      </c>
      <c r="G5" s="337">
        <v>2025</v>
      </c>
      <c r="H5" s="337"/>
      <c r="I5" s="525" t="s">
        <v>215</v>
      </c>
      <c r="J5" s="335"/>
      <c r="K5" s="337">
        <v>2024</v>
      </c>
      <c r="L5" s="337">
        <v>2025</v>
      </c>
    </row>
    <row r="6" spans="2:12" x14ac:dyDescent="0.3">
      <c r="B6" s="339" t="s">
        <v>465</v>
      </c>
      <c r="C6" s="339">
        <v>81252000</v>
      </c>
      <c r="D6" s="339">
        <v>81252000</v>
      </c>
      <c r="E6" s="340"/>
      <c r="F6" s="339">
        <v>957758</v>
      </c>
      <c r="G6" s="339">
        <f>984859.64+5910.64</f>
        <v>990770.28</v>
      </c>
      <c r="H6" s="339"/>
      <c r="I6" s="526">
        <f>(G6/F6)-1</f>
        <v>3.446828948439995E-2</v>
      </c>
      <c r="J6" s="341"/>
      <c r="K6" s="342">
        <f>F6/C6</f>
        <v>1.1787500615369468E-2</v>
      </c>
      <c r="L6" s="342">
        <f>G6/D6</f>
        <v>1.2193795598877566E-2</v>
      </c>
    </row>
    <row r="7" spans="2:12" x14ac:dyDescent="0.3">
      <c r="B7" s="339" t="s">
        <v>212</v>
      </c>
      <c r="C7" s="339"/>
      <c r="D7" s="339"/>
      <c r="E7" s="340"/>
      <c r="F7" s="339">
        <v>204560</v>
      </c>
      <c r="G7" s="339">
        <f>204103.58+1224.93</f>
        <v>205328.50999999998</v>
      </c>
      <c r="H7" s="339"/>
      <c r="I7" s="526">
        <f t="shared" ref="I7:I9" si="0">(G7/F7)-1</f>
        <v>3.7568928431754856E-3</v>
      </c>
      <c r="J7" s="341"/>
      <c r="K7" s="342"/>
    </row>
    <row r="8" spans="2:12" x14ac:dyDescent="0.3">
      <c r="B8" s="339" t="s">
        <v>213</v>
      </c>
      <c r="C8" s="339"/>
      <c r="D8" s="339"/>
      <c r="E8" s="340"/>
      <c r="F8" s="339">
        <v>6898</v>
      </c>
      <c r="G8" s="339">
        <f>6570.7+39.43</f>
        <v>6610.13</v>
      </c>
      <c r="H8" s="339"/>
      <c r="I8" s="526">
        <f t="shared" si="0"/>
        <v>-4.1732386198898186E-2</v>
      </c>
      <c r="J8" s="341"/>
      <c r="K8" s="342"/>
    </row>
    <row r="9" spans="2:12" x14ac:dyDescent="0.3">
      <c r="B9" s="343" t="s">
        <v>466</v>
      </c>
      <c r="C9" s="343"/>
      <c r="D9" s="343"/>
      <c r="E9" s="333"/>
      <c r="F9" s="343">
        <v>33012</v>
      </c>
      <c r="G9" s="343">
        <v>0</v>
      </c>
      <c r="H9" s="343"/>
      <c r="I9" s="527">
        <f t="shared" si="0"/>
        <v>-1</v>
      </c>
      <c r="J9" s="341"/>
      <c r="K9" s="344"/>
      <c r="L9" s="343"/>
    </row>
    <row r="10" spans="2:12" x14ac:dyDescent="0.3">
      <c r="B10" s="345" t="s">
        <v>214</v>
      </c>
      <c r="C10" s="345">
        <f>SUM(C6:C9)</f>
        <v>81252000</v>
      </c>
      <c r="D10" s="345">
        <f>SUM(D6:D9)</f>
        <v>81252000</v>
      </c>
      <c r="E10" s="340"/>
      <c r="F10" s="345">
        <f>SUM(F6:F9)</f>
        <v>1202228</v>
      </c>
      <c r="G10" s="345">
        <f>SUM(G6:G9)</f>
        <v>1202708.92</v>
      </c>
      <c r="H10" s="345"/>
      <c r="I10" s="526">
        <f>G11/F10</f>
        <v>4.0002395552251777E-4</v>
      </c>
      <c r="J10" s="346"/>
      <c r="K10" s="346"/>
    </row>
    <row r="11" spans="2:12" x14ac:dyDescent="0.3">
      <c r="B11" s="345"/>
      <c r="C11" s="345"/>
      <c r="D11" s="345"/>
      <c r="E11" s="340"/>
      <c r="F11" s="347" t="s">
        <v>646</v>
      </c>
      <c r="G11" s="523">
        <f>G10-F10</f>
        <v>480.91999999992549</v>
      </c>
      <c r="H11" s="523"/>
      <c r="I11" s="340"/>
    </row>
    <row r="12" spans="2:12" x14ac:dyDescent="0.3">
      <c r="K12" s="348"/>
    </row>
  </sheetData>
  <mergeCells count="3">
    <mergeCell ref="K4:L4"/>
    <mergeCell ref="C4:D4"/>
    <mergeCell ref="F4:I4"/>
  </mergeCells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24BC7-EA12-4E96-A8EA-1E326F06C8AF}">
  <dimension ref="B2:FJ89"/>
  <sheetViews>
    <sheetView topLeftCell="B6" workbookViewId="0">
      <selection activeCell="O21" sqref="O21"/>
    </sheetView>
  </sheetViews>
  <sheetFormatPr defaultRowHeight="13.8" x14ac:dyDescent="0.3"/>
  <cols>
    <col min="1" max="1" width="3.5546875" style="381" customWidth="1"/>
    <col min="2" max="2" width="11.109375" style="381" customWidth="1"/>
    <col min="3" max="3" width="13.44140625" style="381" customWidth="1"/>
    <col min="4" max="4" width="12.44140625" style="381" customWidth="1"/>
    <col min="5" max="5" width="14" style="381" customWidth="1"/>
    <col min="6" max="6" width="13.109375" style="381" customWidth="1"/>
    <col min="7" max="7" width="13.5546875" style="381" customWidth="1"/>
    <col min="8" max="8" width="13.109375" style="381" customWidth="1"/>
    <col min="9" max="9" width="13.33203125" style="381" customWidth="1"/>
    <col min="10" max="10" width="12.44140625" style="381" customWidth="1"/>
    <col min="11" max="11" width="12.88671875" style="381" customWidth="1"/>
    <col min="12" max="12" width="12.5546875" style="381" customWidth="1"/>
    <col min="13" max="14" width="13.33203125" style="381" customWidth="1"/>
    <col min="15" max="15" width="10" style="381" bestFit="1" customWidth="1"/>
    <col min="16" max="22" width="9.109375" style="381"/>
    <col min="23" max="23" width="9.5546875" style="381" bestFit="1" customWidth="1"/>
    <col min="24" max="106" width="9.109375" style="381"/>
    <col min="107" max="107" width="9.5546875" style="381" bestFit="1" customWidth="1"/>
    <col min="108" max="117" width="9.6640625" style="381" customWidth="1"/>
    <col min="118" max="118" width="11.109375" style="381" customWidth="1"/>
    <col min="119" max="119" width="9.5546875" style="381" bestFit="1" customWidth="1"/>
    <col min="120" max="120" width="11" style="381" customWidth="1"/>
    <col min="121" max="144" width="9.5546875" style="381" bestFit="1" customWidth="1"/>
    <col min="145" max="150" width="9.6640625" style="381" customWidth="1"/>
    <col min="151" max="151" width="10.88671875" style="381" customWidth="1"/>
    <col min="152" max="152" width="11" style="381" customWidth="1"/>
    <col min="153" max="166" width="9.5546875" style="381" bestFit="1" customWidth="1"/>
    <col min="167" max="256" width="9.109375" style="381"/>
    <col min="257" max="257" width="3.5546875" style="381" customWidth="1"/>
    <col min="258" max="258" width="9.109375" style="381"/>
    <col min="259" max="259" width="13.44140625" style="381" customWidth="1"/>
    <col min="260" max="260" width="12.44140625" style="381" customWidth="1"/>
    <col min="261" max="261" width="14" style="381" customWidth="1"/>
    <col min="262" max="262" width="13.109375" style="381" customWidth="1"/>
    <col min="263" max="263" width="13.5546875" style="381" customWidth="1"/>
    <col min="264" max="264" width="13.109375" style="381" customWidth="1"/>
    <col min="265" max="265" width="13.33203125" style="381" customWidth="1"/>
    <col min="266" max="266" width="12.44140625" style="381" customWidth="1"/>
    <col min="267" max="267" width="12.88671875" style="381" customWidth="1"/>
    <col min="268" max="268" width="12.5546875" style="381" customWidth="1"/>
    <col min="269" max="270" width="13.33203125" style="381" customWidth="1"/>
    <col min="271" max="271" width="10" style="381" bestFit="1" customWidth="1"/>
    <col min="272" max="278" width="9.109375" style="381"/>
    <col min="279" max="279" width="9.5546875" style="381" bestFit="1" customWidth="1"/>
    <col min="280" max="362" width="9.109375" style="381"/>
    <col min="363" max="363" width="9.5546875" style="381" bestFit="1" customWidth="1"/>
    <col min="364" max="373" width="9.6640625" style="381" customWidth="1"/>
    <col min="374" max="374" width="11.109375" style="381" customWidth="1"/>
    <col min="375" max="375" width="9.5546875" style="381" bestFit="1" customWidth="1"/>
    <col min="376" max="376" width="11" style="381" customWidth="1"/>
    <col min="377" max="400" width="9.5546875" style="381" bestFit="1" customWidth="1"/>
    <col min="401" max="406" width="9.6640625" style="381" customWidth="1"/>
    <col min="407" max="407" width="10.88671875" style="381" customWidth="1"/>
    <col min="408" max="408" width="11" style="381" customWidth="1"/>
    <col min="409" max="422" width="9.5546875" style="381" bestFit="1" customWidth="1"/>
    <col min="423" max="512" width="9.109375" style="381"/>
    <col min="513" max="513" width="3.5546875" style="381" customWidth="1"/>
    <col min="514" max="514" width="9.109375" style="381"/>
    <col min="515" max="515" width="13.44140625" style="381" customWidth="1"/>
    <col min="516" max="516" width="12.44140625" style="381" customWidth="1"/>
    <col min="517" max="517" width="14" style="381" customWidth="1"/>
    <col min="518" max="518" width="13.109375" style="381" customWidth="1"/>
    <col min="519" max="519" width="13.5546875" style="381" customWidth="1"/>
    <col min="520" max="520" width="13.109375" style="381" customWidth="1"/>
    <col min="521" max="521" width="13.33203125" style="381" customWidth="1"/>
    <col min="522" max="522" width="12.44140625" style="381" customWidth="1"/>
    <col min="523" max="523" width="12.88671875" style="381" customWidth="1"/>
    <col min="524" max="524" width="12.5546875" style="381" customWidth="1"/>
    <col min="525" max="526" width="13.33203125" style="381" customWidth="1"/>
    <col min="527" max="527" width="10" style="381" bestFit="1" customWidth="1"/>
    <col min="528" max="534" width="9.109375" style="381"/>
    <col min="535" max="535" width="9.5546875" style="381" bestFit="1" customWidth="1"/>
    <col min="536" max="618" width="9.109375" style="381"/>
    <col min="619" max="619" width="9.5546875" style="381" bestFit="1" customWidth="1"/>
    <col min="620" max="629" width="9.6640625" style="381" customWidth="1"/>
    <col min="630" max="630" width="11.109375" style="381" customWidth="1"/>
    <col min="631" max="631" width="9.5546875" style="381" bestFit="1" customWidth="1"/>
    <col min="632" max="632" width="11" style="381" customWidth="1"/>
    <col min="633" max="656" width="9.5546875" style="381" bestFit="1" customWidth="1"/>
    <col min="657" max="662" width="9.6640625" style="381" customWidth="1"/>
    <col min="663" max="663" width="10.88671875" style="381" customWidth="1"/>
    <col min="664" max="664" width="11" style="381" customWidth="1"/>
    <col min="665" max="678" width="9.5546875" style="381" bestFit="1" customWidth="1"/>
    <col min="679" max="768" width="9.109375" style="381"/>
    <col min="769" max="769" width="3.5546875" style="381" customWidth="1"/>
    <col min="770" max="770" width="9.109375" style="381"/>
    <col min="771" max="771" width="13.44140625" style="381" customWidth="1"/>
    <col min="772" max="772" width="12.44140625" style="381" customWidth="1"/>
    <col min="773" max="773" width="14" style="381" customWidth="1"/>
    <col min="774" max="774" width="13.109375" style="381" customWidth="1"/>
    <col min="775" max="775" width="13.5546875" style="381" customWidth="1"/>
    <col min="776" max="776" width="13.109375" style="381" customWidth="1"/>
    <col min="777" max="777" width="13.33203125" style="381" customWidth="1"/>
    <col min="778" max="778" width="12.44140625" style="381" customWidth="1"/>
    <col min="779" max="779" width="12.88671875" style="381" customWidth="1"/>
    <col min="780" max="780" width="12.5546875" style="381" customWidth="1"/>
    <col min="781" max="782" width="13.33203125" style="381" customWidth="1"/>
    <col min="783" max="783" width="10" style="381" bestFit="1" customWidth="1"/>
    <col min="784" max="790" width="9.109375" style="381"/>
    <col min="791" max="791" width="9.5546875" style="381" bestFit="1" customWidth="1"/>
    <col min="792" max="874" width="9.109375" style="381"/>
    <col min="875" max="875" width="9.5546875" style="381" bestFit="1" customWidth="1"/>
    <col min="876" max="885" width="9.6640625" style="381" customWidth="1"/>
    <col min="886" max="886" width="11.109375" style="381" customWidth="1"/>
    <col min="887" max="887" width="9.5546875" style="381" bestFit="1" customWidth="1"/>
    <col min="888" max="888" width="11" style="381" customWidth="1"/>
    <col min="889" max="912" width="9.5546875" style="381" bestFit="1" customWidth="1"/>
    <col min="913" max="918" width="9.6640625" style="381" customWidth="1"/>
    <col min="919" max="919" width="10.88671875" style="381" customWidth="1"/>
    <col min="920" max="920" width="11" style="381" customWidth="1"/>
    <col min="921" max="934" width="9.5546875" style="381" bestFit="1" customWidth="1"/>
    <col min="935" max="1024" width="9.109375" style="381"/>
    <col min="1025" max="1025" width="3.5546875" style="381" customWidth="1"/>
    <col min="1026" max="1026" width="9.109375" style="381"/>
    <col min="1027" max="1027" width="13.44140625" style="381" customWidth="1"/>
    <col min="1028" max="1028" width="12.44140625" style="381" customWidth="1"/>
    <col min="1029" max="1029" width="14" style="381" customWidth="1"/>
    <col min="1030" max="1030" width="13.109375" style="381" customWidth="1"/>
    <col min="1031" max="1031" width="13.5546875" style="381" customWidth="1"/>
    <col min="1032" max="1032" width="13.109375" style="381" customWidth="1"/>
    <col min="1033" max="1033" width="13.33203125" style="381" customWidth="1"/>
    <col min="1034" max="1034" width="12.44140625" style="381" customWidth="1"/>
    <col min="1035" max="1035" width="12.88671875" style="381" customWidth="1"/>
    <col min="1036" max="1036" width="12.5546875" style="381" customWidth="1"/>
    <col min="1037" max="1038" width="13.33203125" style="381" customWidth="1"/>
    <col min="1039" max="1039" width="10" style="381" bestFit="1" customWidth="1"/>
    <col min="1040" max="1046" width="9.109375" style="381"/>
    <col min="1047" max="1047" width="9.5546875" style="381" bestFit="1" customWidth="1"/>
    <col min="1048" max="1130" width="9.109375" style="381"/>
    <col min="1131" max="1131" width="9.5546875" style="381" bestFit="1" customWidth="1"/>
    <col min="1132" max="1141" width="9.6640625" style="381" customWidth="1"/>
    <col min="1142" max="1142" width="11.109375" style="381" customWidth="1"/>
    <col min="1143" max="1143" width="9.5546875" style="381" bestFit="1" customWidth="1"/>
    <col min="1144" max="1144" width="11" style="381" customWidth="1"/>
    <col min="1145" max="1168" width="9.5546875" style="381" bestFit="1" customWidth="1"/>
    <col min="1169" max="1174" width="9.6640625" style="381" customWidth="1"/>
    <col min="1175" max="1175" width="10.88671875" style="381" customWidth="1"/>
    <col min="1176" max="1176" width="11" style="381" customWidth="1"/>
    <col min="1177" max="1190" width="9.5546875" style="381" bestFit="1" customWidth="1"/>
    <col min="1191" max="1280" width="9.109375" style="381"/>
    <col min="1281" max="1281" width="3.5546875" style="381" customWidth="1"/>
    <col min="1282" max="1282" width="9.109375" style="381"/>
    <col min="1283" max="1283" width="13.44140625" style="381" customWidth="1"/>
    <col min="1284" max="1284" width="12.44140625" style="381" customWidth="1"/>
    <col min="1285" max="1285" width="14" style="381" customWidth="1"/>
    <col min="1286" max="1286" width="13.109375" style="381" customWidth="1"/>
    <col min="1287" max="1287" width="13.5546875" style="381" customWidth="1"/>
    <col min="1288" max="1288" width="13.109375" style="381" customWidth="1"/>
    <col min="1289" max="1289" width="13.33203125" style="381" customWidth="1"/>
    <col min="1290" max="1290" width="12.44140625" style="381" customWidth="1"/>
    <col min="1291" max="1291" width="12.88671875" style="381" customWidth="1"/>
    <col min="1292" max="1292" width="12.5546875" style="381" customWidth="1"/>
    <col min="1293" max="1294" width="13.33203125" style="381" customWidth="1"/>
    <col min="1295" max="1295" width="10" style="381" bestFit="1" customWidth="1"/>
    <col min="1296" max="1302" width="9.109375" style="381"/>
    <col min="1303" max="1303" width="9.5546875" style="381" bestFit="1" customWidth="1"/>
    <col min="1304" max="1386" width="9.109375" style="381"/>
    <col min="1387" max="1387" width="9.5546875" style="381" bestFit="1" customWidth="1"/>
    <col min="1388" max="1397" width="9.6640625" style="381" customWidth="1"/>
    <col min="1398" max="1398" width="11.109375" style="381" customWidth="1"/>
    <col min="1399" max="1399" width="9.5546875" style="381" bestFit="1" customWidth="1"/>
    <col min="1400" max="1400" width="11" style="381" customWidth="1"/>
    <col min="1401" max="1424" width="9.5546875" style="381" bestFit="1" customWidth="1"/>
    <col min="1425" max="1430" width="9.6640625" style="381" customWidth="1"/>
    <col min="1431" max="1431" width="10.88671875" style="381" customWidth="1"/>
    <col min="1432" max="1432" width="11" style="381" customWidth="1"/>
    <col min="1433" max="1446" width="9.5546875" style="381" bestFit="1" customWidth="1"/>
    <col min="1447" max="1536" width="9.109375" style="381"/>
    <col min="1537" max="1537" width="3.5546875" style="381" customWidth="1"/>
    <col min="1538" max="1538" width="9.109375" style="381"/>
    <col min="1539" max="1539" width="13.44140625" style="381" customWidth="1"/>
    <col min="1540" max="1540" width="12.44140625" style="381" customWidth="1"/>
    <col min="1541" max="1541" width="14" style="381" customWidth="1"/>
    <col min="1542" max="1542" width="13.109375" style="381" customWidth="1"/>
    <col min="1543" max="1543" width="13.5546875" style="381" customWidth="1"/>
    <col min="1544" max="1544" width="13.109375" style="381" customWidth="1"/>
    <col min="1545" max="1545" width="13.33203125" style="381" customWidth="1"/>
    <col min="1546" max="1546" width="12.44140625" style="381" customWidth="1"/>
    <col min="1547" max="1547" width="12.88671875" style="381" customWidth="1"/>
    <col min="1548" max="1548" width="12.5546875" style="381" customWidth="1"/>
    <col min="1549" max="1550" width="13.33203125" style="381" customWidth="1"/>
    <col min="1551" max="1551" width="10" style="381" bestFit="1" customWidth="1"/>
    <col min="1552" max="1558" width="9.109375" style="381"/>
    <col min="1559" max="1559" width="9.5546875" style="381" bestFit="1" customWidth="1"/>
    <col min="1560" max="1642" width="9.109375" style="381"/>
    <col min="1643" max="1643" width="9.5546875" style="381" bestFit="1" customWidth="1"/>
    <col min="1644" max="1653" width="9.6640625" style="381" customWidth="1"/>
    <col min="1654" max="1654" width="11.109375" style="381" customWidth="1"/>
    <col min="1655" max="1655" width="9.5546875" style="381" bestFit="1" customWidth="1"/>
    <col min="1656" max="1656" width="11" style="381" customWidth="1"/>
    <col min="1657" max="1680" width="9.5546875" style="381" bestFit="1" customWidth="1"/>
    <col min="1681" max="1686" width="9.6640625" style="381" customWidth="1"/>
    <col min="1687" max="1687" width="10.88671875" style="381" customWidth="1"/>
    <col min="1688" max="1688" width="11" style="381" customWidth="1"/>
    <col min="1689" max="1702" width="9.5546875" style="381" bestFit="1" customWidth="1"/>
    <col min="1703" max="1792" width="9.109375" style="381"/>
    <col min="1793" max="1793" width="3.5546875" style="381" customWidth="1"/>
    <col min="1794" max="1794" width="9.109375" style="381"/>
    <col min="1795" max="1795" width="13.44140625" style="381" customWidth="1"/>
    <col min="1796" max="1796" width="12.44140625" style="381" customWidth="1"/>
    <col min="1797" max="1797" width="14" style="381" customWidth="1"/>
    <col min="1798" max="1798" width="13.109375" style="381" customWidth="1"/>
    <col min="1799" max="1799" width="13.5546875" style="381" customWidth="1"/>
    <col min="1800" max="1800" width="13.109375" style="381" customWidth="1"/>
    <col min="1801" max="1801" width="13.33203125" style="381" customWidth="1"/>
    <col min="1802" max="1802" width="12.44140625" style="381" customWidth="1"/>
    <col min="1803" max="1803" width="12.88671875" style="381" customWidth="1"/>
    <col min="1804" max="1804" width="12.5546875" style="381" customWidth="1"/>
    <col min="1805" max="1806" width="13.33203125" style="381" customWidth="1"/>
    <col min="1807" max="1807" width="10" style="381" bestFit="1" customWidth="1"/>
    <col min="1808" max="1814" width="9.109375" style="381"/>
    <col min="1815" max="1815" width="9.5546875" style="381" bestFit="1" customWidth="1"/>
    <col min="1816" max="1898" width="9.109375" style="381"/>
    <col min="1899" max="1899" width="9.5546875" style="381" bestFit="1" customWidth="1"/>
    <col min="1900" max="1909" width="9.6640625" style="381" customWidth="1"/>
    <col min="1910" max="1910" width="11.109375" style="381" customWidth="1"/>
    <col min="1911" max="1911" width="9.5546875" style="381" bestFit="1" customWidth="1"/>
    <col min="1912" max="1912" width="11" style="381" customWidth="1"/>
    <col min="1913" max="1936" width="9.5546875" style="381" bestFit="1" customWidth="1"/>
    <col min="1937" max="1942" width="9.6640625" style="381" customWidth="1"/>
    <col min="1943" max="1943" width="10.88671875" style="381" customWidth="1"/>
    <col min="1944" max="1944" width="11" style="381" customWidth="1"/>
    <col min="1945" max="1958" width="9.5546875" style="381" bestFit="1" customWidth="1"/>
    <col min="1959" max="2048" width="9.109375" style="381"/>
    <col min="2049" max="2049" width="3.5546875" style="381" customWidth="1"/>
    <col min="2050" max="2050" width="9.109375" style="381"/>
    <col min="2051" max="2051" width="13.44140625" style="381" customWidth="1"/>
    <col min="2052" max="2052" width="12.44140625" style="381" customWidth="1"/>
    <col min="2053" max="2053" width="14" style="381" customWidth="1"/>
    <col min="2054" max="2054" width="13.109375" style="381" customWidth="1"/>
    <col min="2055" max="2055" width="13.5546875" style="381" customWidth="1"/>
    <col min="2056" max="2056" width="13.109375" style="381" customWidth="1"/>
    <col min="2057" max="2057" width="13.33203125" style="381" customWidth="1"/>
    <col min="2058" max="2058" width="12.44140625" style="381" customWidth="1"/>
    <col min="2059" max="2059" width="12.88671875" style="381" customWidth="1"/>
    <col min="2060" max="2060" width="12.5546875" style="381" customWidth="1"/>
    <col min="2061" max="2062" width="13.33203125" style="381" customWidth="1"/>
    <col min="2063" max="2063" width="10" style="381" bestFit="1" customWidth="1"/>
    <col min="2064" max="2070" width="9.109375" style="381"/>
    <col min="2071" max="2071" width="9.5546875" style="381" bestFit="1" customWidth="1"/>
    <col min="2072" max="2154" width="9.109375" style="381"/>
    <col min="2155" max="2155" width="9.5546875" style="381" bestFit="1" customWidth="1"/>
    <col min="2156" max="2165" width="9.6640625" style="381" customWidth="1"/>
    <col min="2166" max="2166" width="11.109375" style="381" customWidth="1"/>
    <col min="2167" max="2167" width="9.5546875" style="381" bestFit="1" customWidth="1"/>
    <col min="2168" max="2168" width="11" style="381" customWidth="1"/>
    <col min="2169" max="2192" width="9.5546875" style="381" bestFit="1" customWidth="1"/>
    <col min="2193" max="2198" width="9.6640625" style="381" customWidth="1"/>
    <col min="2199" max="2199" width="10.88671875" style="381" customWidth="1"/>
    <col min="2200" max="2200" width="11" style="381" customWidth="1"/>
    <col min="2201" max="2214" width="9.5546875" style="381" bestFit="1" customWidth="1"/>
    <col min="2215" max="2304" width="9.109375" style="381"/>
    <col min="2305" max="2305" width="3.5546875" style="381" customWidth="1"/>
    <col min="2306" max="2306" width="9.109375" style="381"/>
    <col min="2307" max="2307" width="13.44140625" style="381" customWidth="1"/>
    <col min="2308" max="2308" width="12.44140625" style="381" customWidth="1"/>
    <col min="2309" max="2309" width="14" style="381" customWidth="1"/>
    <col min="2310" max="2310" width="13.109375" style="381" customWidth="1"/>
    <col min="2311" max="2311" width="13.5546875" style="381" customWidth="1"/>
    <col min="2312" max="2312" width="13.109375" style="381" customWidth="1"/>
    <col min="2313" max="2313" width="13.33203125" style="381" customWidth="1"/>
    <col min="2314" max="2314" width="12.44140625" style="381" customWidth="1"/>
    <col min="2315" max="2315" width="12.88671875" style="381" customWidth="1"/>
    <col min="2316" max="2316" width="12.5546875" style="381" customWidth="1"/>
    <col min="2317" max="2318" width="13.33203125" style="381" customWidth="1"/>
    <col min="2319" max="2319" width="10" style="381" bestFit="1" customWidth="1"/>
    <col min="2320" max="2326" width="9.109375" style="381"/>
    <col min="2327" max="2327" width="9.5546875" style="381" bestFit="1" customWidth="1"/>
    <col min="2328" max="2410" width="9.109375" style="381"/>
    <col min="2411" max="2411" width="9.5546875" style="381" bestFit="1" customWidth="1"/>
    <col min="2412" max="2421" width="9.6640625" style="381" customWidth="1"/>
    <col min="2422" max="2422" width="11.109375" style="381" customWidth="1"/>
    <col min="2423" max="2423" width="9.5546875" style="381" bestFit="1" customWidth="1"/>
    <col min="2424" max="2424" width="11" style="381" customWidth="1"/>
    <col min="2425" max="2448" width="9.5546875" style="381" bestFit="1" customWidth="1"/>
    <col min="2449" max="2454" width="9.6640625" style="381" customWidth="1"/>
    <col min="2455" max="2455" width="10.88671875" style="381" customWidth="1"/>
    <col min="2456" max="2456" width="11" style="381" customWidth="1"/>
    <col min="2457" max="2470" width="9.5546875" style="381" bestFit="1" customWidth="1"/>
    <col min="2471" max="2560" width="9.109375" style="381"/>
    <col min="2561" max="2561" width="3.5546875" style="381" customWidth="1"/>
    <col min="2562" max="2562" width="9.109375" style="381"/>
    <col min="2563" max="2563" width="13.44140625" style="381" customWidth="1"/>
    <col min="2564" max="2564" width="12.44140625" style="381" customWidth="1"/>
    <col min="2565" max="2565" width="14" style="381" customWidth="1"/>
    <col min="2566" max="2566" width="13.109375" style="381" customWidth="1"/>
    <col min="2567" max="2567" width="13.5546875" style="381" customWidth="1"/>
    <col min="2568" max="2568" width="13.109375" style="381" customWidth="1"/>
    <col min="2569" max="2569" width="13.33203125" style="381" customWidth="1"/>
    <col min="2570" max="2570" width="12.44140625" style="381" customWidth="1"/>
    <col min="2571" max="2571" width="12.88671875" style="381" customWidth="1"/>
    <col min="2572" max="2572" width="12.5546875" style="381" customWidth="1"/>
    <col min="2573" max="2574" width="13.33203125" style="381" customWidth="1"/>
    <col min="2575" max="2575" width="10" style="381" bestFit="1" customWidth="1"/>
    <col min="2576" max="2582" width="9.109375" style="381"/>
    <col min="2583" max="2583" width="9.5546875" style="381" bestFit="1" customWidth="1"/>
    <col min="2584" max="2666" width="9.109375" style="381"/>
    <col min="2667" max="2667" width="9.5546875" style="381" bestFit="1" customWidth="1"/>
    <col min="2668" max="2677" width="9.6640625" style="381" customWidth="1"/>
    <col min="2678" max="2678" width="11.109375" style="381" customWidth="1"/>
    <col min="2679" max="2679" width="9.5546875" style="381" bestFit="1" customWidth="1"/>
    <col min="2680" max="2680" width="11" style="381" customWidth="1"/>
    <col min="2681" max="2704" width="9.5546875" style="381" bestFit="1" customWidth="1"/>
    <col min="2705" max="2710" width="9.6640625" style="381" customWidth="1"/>
    <col min="2711" max="2711" width="10.88671875" style="381" customWidth="1"/>
    <col min="2712" max="2712" width="11" style="381" customWidth="1"/>
    <col min="2713" max="2726" width="9.5546875" style="381" bestFit="1" customWidth="1"/>
    <col min="2727" max="2816" width="9.109375" style="381"/>
    <col min="2817" max="2817" width="3.5546875" style="381" customWidth="1"/>
    <col min="2818" max="2818" width="9.109375" style="381"/>
    <col min="2819" max="2819" width="13.44140625" style="381" customWidth="1"/>
    <col min="2820" max="2820" width="12.44140625" style="381" customWidth="1"/>
    <col min="2821" max="2821" width="14" style="381" customWidth="1"/>
    <col min="2822" max="2822" width="13.109375" style="381" customWidth="1"/>
    <col min="2823" max="2823" width="13.5546875" style="381" customWidth="1"/>
    <col min="2824" max="2824" width="13.109375" style="381" customWidth="1"/>
    <col min="2825" max="2825" width="13.33203125" style="381" customWidth="1"/>
    <col min="2826" max="2826" width="12.44140625" style="381" customWidth="1"/>
    <col min="2827" max="2827" width="12.88671875" style="381" customWidth="1"/>
    <col min="2828" max="2828" width="12.5546875" style="381" customWidth="1"/>
    <col min="2829" max="2830" width="13.33203125" style="381" customWidth="1"/>
    <col min="2831" max="2831" width="10" style="381" bestFit="1" customWidth="1"/>
    <col min="2832" max="2838" width="9.109375" style="381"/>
    <col min="2839" max="2839" width="9.5546875" style="381" bestFit="1" customWidth="1"/>
    <col min="2840" max="2922" width="9.109375" style="381"/>
    <col min="2923" max="2923" width="9.5546875" style="381" bestFit="1" customWidth="1"/>
    <col min="2924" max="2933" width="9.6640625" style="381" customWidth="1"/>
    <col min="2934" max="2934" width="11.109375" style="381" customWidth="1"/>
    <col min="2935" max="2935" width="9.5546875" style="381" bestFit="1" customWidth="1"/>
    <col min="2936" max="2936" width="11" style="381" customWidth="1"/>
    <col min="2937" max="2960" width="9.5546875" style="381" bestFit="1" customWidth="1"/>
    <col min="2961" max="2966" width="9.6640625" style="381" customWidth="1"/>
    <col min="2967" max="2967" width="10.88671875" style="381" customWidth="1"/>
    <col min="2968" max="2968" width="11" style="381" customWidth="1"/>
    <col min="2969" max="2982" width="9.5546875" style="381" bestFit="1" customWidth="1"/>
    <col min="2983" max="3072" width="9.109375" style="381"/>
    <col min="3073" max="3073" width="3.5546875" style="381" customWidth="1"/>
    <col min="3074" max="3074" width="9.109375" style="381"/>
    <col min="3075" max="3075" width="13.44140625" style="381" customWidth="1"/>
    <col min="3076" max="3076" width="12.44140625" style="381" customWidth="1"/>
    <col min="3077" max="3077" width="14" style="381" customWidth="1"/>
    <col min="3078" max="3078" width="13.109375" style="381" customWidth="1"/>
    <col min="3079" max="3079" width="13.5546875" style="381" customWidth="1"/>
    <col min="3080" max="3080" width="13.109375" style="381" customWidth="1"/>
    <col min="3081" max="3081" width="13.33203125" style="381" customWidth="1"/>
    <col min="3082" max="3082" width="12.44140625" style="381" customWidth="1"/>
    <col min="3083" max="3083" width="12.88671875" style="381" customWidth="1"/>
    <col min="3084" max="3084" width="12.5546875" style="381" customWidth="1"/>
    <col min="3085" max="3086" width="13.33203125" style="381" customWidth="1"/>
    <col min="3087" max="3087" width="10" style="381" bestFit="1" customWidth="1"/>
    <col min="3088" max="3094" width="9.109375" style="381"/>
    <col min="3095" max="3095" width="9.5546875" style="381" bestFit="1" customWidth="1"/>
    <col min="3096" max="3178" width="9.109375" style="381"/>
    <col min="3179" max="3179" width="9.5546875" style="381" bestFit="1" customWidth="1"/>
    <col min="3180" max="3189" width="9.6640625" style="381" customWidth="1"/>
    <col min="3190" max="3190" width="11.109375" style="381" customWidth="1"/>
    <col min="3191" max="3191" width="9.5546875" style="381" bestFit="1" customWidth="1"/>
    <col min="3192" max="3192" width="11" style="381" customWidth="1"/>
    <col min="3193" max="3216" width="9.5546875" style="381" bestFit="1" customWidth="1"/>
    <col min="3217" max="3222" width="9.6640625" style="381" customWidth="1"/>
    <col min="3223" max="3223" width="10.88671875" style="381" customWidth="1"/>
    <col min="3224" max="3224" width="11" style="381" customWidth="1"/>
    <col min="3225" max="3238" width="9.5546875" style="381" bestFit="1" customWidth="1"/>
    <col min="3239" max="3328" width="9.109375" style="381"/>
    <col min="3329" max="3329" width="3.5546875" style="381" customWidth="1"/>
    <col min="3330" max="3330" width="9.109375" style="381"/>
    <col min="3331" max="3331" width="13.44140625" style="381" customWidth="1"/>
    <col min="3332" max="3332" width="12.44140625" style="381" customWidth="1"/>
    <col min="3333" max="3333" width="14" style="381" customWidth="1"/>
    <col min="3334" max="3334" width="13.109375" style="381" customWidth="1"/>
    <col min="3335" max="3335" width="13.5546875" style="381" customWidth="1"/>
    <col min="3336" max="3336" width="13.109375" style="381" customWidth="1"/>
    <col min="3337" max="3337" width="13.33203125" style="381" customWidth="1"/>
    <col min="3338" max="3338" width="12.44140625" style="381" customWidth="1"/>
    <col min="3339" max="3339" width="12.88671875" style="381" customWidth="1"/>
    <col min="3340" max="3340" width="12.5546875" style="381" customWidth="1"/>
    <col min="3341" max="3342" width="13.33203125" style="381" customWidth="1"/>
    <col min="3343" max="3343" width="10" style="381" bestFit="1" customWidth="1"/>
    <col min="3344" max="3350" width="9.109375" style="381"/>
    <col min="3351" max="3351" width="9.5546875" style="381" bestFit="1" customWidth="1"/>
    <col min="3352" max="3434" width="9.109375" style="381"/>
    <col min="3435" max="3435" width="9.5546875" style="381" bestFit="1" customWidth="1"/>
    <col min="3436" max="3445" width="9.6640625" style="381" customWidth="1"/>
    <col min="3446" max="3446" width="11.109375" style="381" customWidth="1"/>
    <col min="3447" max="3447" width="9.5546875" style="381" bestFit="1" customWidth="1"/>
    <col min="3448" max="3448" width="11" style="381" customWidth="1"/>
    <col min="3449" max="3472" width="9.5546875" style="381" bestFit="1" customWidth="1"/>
    <col min="3473" max="3478" width="9.6640625" style="381" customWidth="1"/>
    <col min="3479" max="3479" width="10.88671875" style="381" customWidth="1"/>
    <col min="3480" max="3480" width="11" style="381" customWidth="1"/>
    <col min="3481" max="3494" width="9.5546875" style="381" bestFit="1" customWidth="1"/>
    <col min="3495" max="3584" width="9.109375" style="381"/>
    <col min="3585" max="3585" width="3.5546875" style="381" customWidth="1"/>
    <col min="3586" max="3586" width="9.109375" style="381"/>
    <col min="3587" max="3587" width="13.44140625" style="381" customWidth="1"/>
    <col min="3588" max="3588" width="12.44140625" style="381" customWidth="1"/>
    <col min="3589" max="3589" width="14" style="381" customWidth="1"/>
    <col min="3590" max="3590" width="13.109375" style="381" customWidth="1"/>
    <col min="3591" max="3591" width="13.5546875" style="381" customWidth="1"/>
    <col min="3592" max="3592" width="13.109375" style="381" customWidth="1"/>
    <col min="3593" max="3593" width="13.33203125" style="381" customWidth="1"/>
    <col min="3594" max="3594" width="12.44140625" style="381" customWidth="1"/>
    <col min="3595" max="3595" width="12.88671875" style="381" customWidth="1"/>
    <col min="3596" max="3596" width="12.5546875" style="381" customWidth="1"/>
    <col min="3597" max="3598" width="13.33203125" style="381" customWidth="1"/>
    <col min="3599" max="3599" width="10" style="381" bestFit="1" customWidth="1"/>
    <col min="3600" max="3606" width="9.109375" style="381"/>
    <col min="3607" max="3607" width="9.5546875" style="381" bestFit="1" customWidth="1"/>
    <col min="3608" max="3690" width="9.109375" style="381"/>
    <col min="3691" max="3691" width="9.5546875" style="381" bestFit="1" customWidth="1"/>
    <col min="3692" max="3701" width="9.6640625" style="381" customWidth="1"/>
    <col min="3702" max="3702" width="11.109375" style="381" customWidth="1"/>
    <col min="3703" max="3703" width="9.5546875" style="381" bestFit="1" customWidth="1"/>
    <col min="3704" max="3704" width="11" style="381" customWidth="1"/>
    <col min="3705" max="3728" width="9.5546875" style="381" bestFit="1" customWidth="1"/>
    <col min="3729" max="3734" width="9.6640625" style="381" customWidth="1"/>
    <col min="3735" max="3735" width="10.88671875" style="381" customWidth="1"/>
    <col min="3736" max="3736" width="11" style="381" customWidth="1"/>
    <col min="3737" max="3750" width="9.5546875" style="381" bestFit="1" customWidth="1"/>
    <col min="3751" max="3840" width="9.109375" style="381"/>
    <col min="3841" max="3841" width="3.5546875" style="381" customWidth="1"/>
    <col min="3842" max="3842" width="9.109375" style="381"/>
    <col min="3843" max="3843" width="13.44140625" style="381" customWidth="1"/>
    <col min="3844" max="3844" width="12.44140625" style="381" customWidth="1"/>
    <col min="3845" max="3845" width="14" style="381" customWidth="1"/>
    <col min="3846" max="3846" width="13.109375" style="381" customWidth="1"/>
    <col min="3847" max="3847" width="13.5546875" style="381" customWidth="1"/>
    <col min="3848" max="3848" width="13.109375" style="381" customWidth="1"/>
    <col min="3849" max="3849" width="13.33203125" style="381" customWidth="1"/>
    <col min="3850" max="3850" width="12.44140625" style="381" customWidth="1"/>
    <col min="3851" max="3851" width="12.88671875" style="381" customWidth="1"/>
    <col min="3852" max="3852" width="12.5546875" style="381" customWidth="1"/>
    <col min="3853" max="3854" width="13.33203125" style="381" customWidth="1"/>
    <col min="3855" max="3855" width="10" style="381" bestFit="1" customWidth="1"/>
    <col min="3856" max="3862" width="9.109375" style="381"/>
    <col min="3863" max="3863" width="9.5546875" style="381" bestFit="1" customWidth="1"/>
    <col min="3864" max="3946" width="9.109375" style="381"/>
    <col min="3947" max="3947" width="9.5546875" style="381" bestFit="1" customWidth="1"/>
    <col min="3948" max="3957" width="9.6640625" style="381" customWidth="1"/>
    <col min="3958" max="3958" width="11.109375" style="381" customWidth="1"/>
    <col min="3959" max="3959" width="9.5546875" style="381" bestFit="1" customWidth="1"/>
    <col min="3960" max="3960" width="11" style="381" customWidth="1"/>
    <col min="3961" max="3984" width="9.5546875" style="381" bestFit="1" customWidth="1"/>
    <col min="3985" max="3990" width="9.6640625" style="381" customWidth="1"/>
    <col min="3991" max="3991" width="10.88671875" style="381" customWidth="1"/>
    <col min="3992" max="3992" width="11" style="381" customWidth="1"/>
    <col min="3993" max="4006" width="9.5546875" style="381" bestFit="1" customWidth="1"/>
    <col min="4007" max="4096" width="9.109375" style="381"/>
    <col min="4097" max="4097" width="3.5546875" style="381" customWidth="1"/>
    <col min="4098" max="4098" width="9.109375" style="381"/>
    <col min="4099" max="4099" width="13.44140625" style="381" customWidth="1"/>
    <col min="4100" max="4100" width="12.44140625" style="381" customWidth="1"/>
    <col min="4101" max="4101" width="14" style="381" customWidth="1"/>
    <col min="4102" max="4102" width="13.109375" style="381" customWidth="1"/>
    <col min="4103" max="4103" width="13.5546875" style="381" customWidth="1"/>
    <col min="4104" max="4104" width="13.109375" style="381" customWidth="1"/>
    <col min="4105" max="4105" width="13.33203125" style="381" customWidth="1"/>
    <col min="4106" max="4106" width="12.44140625" style="381" customWidth="1"/>
    <col min="4107" max="4107" width="12.88671875" style="381" customWidth="1"/>
    <col min="4108" max="4108" width="12.5546875" style="381" customWidth="1"/>
    <col min="4109" max="4110" width="13.33203125" style="381" customWidth="1"/>
    <col min="4111" max="4111" width="10" style="381" bestFit="1" customWidth="1"/>
    <col min="4112" max="4118" width="9.109375" style="381"/>
    <col min="4119" max="4119" width="9.5546875" style="381" bestFit="1" customWidth="1"/>
    <col min="4120" max="4202" width="9.109375" style="381"/>
    <col min="4203" max="4203" width="9.5546875" style="381" bestFit="1" customWidth="1"/>
    <col min="4204" max="4213" width="9.6640625" style="381" customWidth="1"/>
    <col min="4214" max="4214" width="11.109375" style="381" customWidth="1"/>
    <col min="4215" max="4215" width="9.5546875" style="381" bestFit="1" customWidth="1"/>
    <col min="4216" max="4216" width="11" style="381" customWidth="1"/>
    <col min="4217" max="4240" width="9.5546875" style="381" bestFit="1" customWidth="1"/>
    <col min="4241" max="4246" width="9.6640625" style="381" customWidth="1"/>
    <col min="4247" max="4247" width="10.88671875" style="381" customWidth="1"/>
    <col min="4248" max="4248" width="11" style="381" customWidth="1"/>
    <col min="4249" max="4262" width="9.5546875" style="381" bestFit="1" customWidth="1"/>
    <col min="4263" max="4352" width="9.109375" style="381"/>
    <col min="4353" max="4353" width="3.5546875" style="381" customWidth="1"/>
    <col min="4354" max="4354" width="9.109375" style="381"/>
    <col min="4355" max="4355" width="13.44140625" style="381" customWidth="1"/>
    <col min="4356" max="4356" width="12.44140625" style="381" customWidth="1"/>
    <col min="4357" max="4357" width="14" style="381" customWidth="1"/>
    <col min="4358" max="4358" width="13.109375" style="381" customWidth="1"/>
    <col min="4359" max="4359" width="13.5546875" style="381" customWidth="1"/>
    <col min="4360" max="4360" width="13.109375" style="381" customWidth="1"/>
    <col min="4361" max="4361" width="13.33203125" style="381" customWidth="1"/>
    <col min="4362" max="4362" width="12.44140625" style="381" customWidth="1"/>
    <col min="4363" max="4363" width="12.88671875" style="381" customWidth="1"/>
    <col min="4364" max="4364" width="12.5546875" style="381" customWidth="1"/>
    <col min="4365" max="4366" width="13.33203125" style="381" customWidth="1"/>
    <col min="4367" max="4367" width="10" style="381" bestFit="1" customWidth="1"/>
    <col min="4368" max="4374" width="9.109375" style="381"/>
    <col min="4375" max="4375" width="9.5546875" style="381" bestFit="1" customWidth="1"/>
    <col min="4376" max="4458" width="9.109375" style="381"/>
    <col min="4459" max="4459" width="9.5546875" style="381" bestFit="1" customWidth="1"/>
    <col min="4460" max="4469" width="9.6640625" style="381" customWidth="1"/>
    <col min="4470" max="4470" width="11.109375" style="381" customWidth="1"/>
    <col min="4471" max="4471" width="9.5546875" style="381" bestFit="1" customWidth="1"/>
    <col min="4472" max="4472" width="11" style="381" customWidth="1"/>
    <col min="4473" max="4496" width="9.5546875" style="381" bestFit="1" customWidth="1"/>
    <col min="4497" max="4502" width="9.6640625" style="381" customWidth="1"/>
    <col min="4503" max="4503" width="10.88671875" style="381" customWidth="1"/>
    <col min="4504" max="4504" width="11" style="381" customWidth="1"/>
    <col min="4505" max="4518" width="9.5546875" style="381" bestFit="1" customWidth="1"/>
    <col min="4519" max="4608" width="9.109375" style="381"/>
    <col min="4609" max="4609" width="3.5546875" style="381" customWidth="1"/>
    <col min="4610" max="4610" width="9.109375" style="381"/>
    <col min="4611" max="4611" width="13.44140625" style="381" customWidth="1"/>
    <col min="4612" max="4612" width="12.44140625" style="381" customWidth="1"/>
    <col min="4613" max="4613" width="14" style="381" customWidth="1"/>
    <col min="4614" max="4614" width="13.109375" style="381" customWidth="1"/>
    <col min="4615" max="4615" width="13.5546875" style="381" customWidth="1"/>
    <col min="4616" max="4616" width="13.109375" style="381" customWidth="1"/>
    <col min="4617" max="4617" width="13.33203125" style="381" customWidth="1"/>
    <col min="4618" max="4618" width="12.44140625" style="381" customWidth="1"/>
    <col min="4619" max="4619" width="12.88671875" style="381" customWidth="1"/>
    <col min="4620" max="4620" width="12.5546875" style="381" customWidth="1"/>
    <col min="4621" max="4622" width="13.33203125" style="381" customWidth="1"/>
    <col min="4623" max="4623" width="10" style="381" bestFit="1" customWidth="1"/>
    <col min="4624" max="4630" width="9.109375" style="381"/>
    <col min="4631" max="4631" width="9.5546875" style="381" bestFit="1" customWidth="1"/>
    <col min="4632" max="4714" width="9.109375" style="381"/>
    <col min="4715" max="4715" width="9.5546875" style="381" bestFit="1" customWidth="1"/>
    <col min="4716" max="4725" width="9.6640625" style="381" customWidth="1"/>
    <col min="4726" max="4726" width="11.109375" style="381" customWidth="1"/>
    <col min="4727" max="4727" width="9.5546875" style="381" bestFit="1" customWidth="1"/>
    <col min="4728" max="4728" width="11" style="381" customWidth="1"/>
    <col min="4729" max="4752" width="9.5546875" style="381" bestFit="1" customWidth="1"/>
    <col min="4753" max="4758" width="9.6640625" style="381" customWidth="1"/>
    <col min="4759" max="4759" width="10.88671875" style="381" customWidth="1"/>
    <col min="4760" max="4760" width="11" style="381" customWidth="1"/>
    <col min="4761" max="4774" width="9.5546875" style="381" bestFit="1" customWidth="1"/>
    <col min="4775" max="4864" width="9.109375" style="381"/>
    <col min="4865" max="4865" width="3.5546875" style="381" customWidth="1"/>
    <col min="4866" max="4866" width="9.109375" style="381"/>
    <col min="4867" max="4867" width="13.44140625" style="381" customWidth="1"/>
    <col min="4868" max="4868" width="12.44140625" style="381" customWidth="1"/>
    <col min="4869" max="4869" width="14" style="381" customWidth="1"/>
    <col min="4870" max="4870" width="13.109375" style="381" customWidth="1"/>
    <col min="4871" max="4871" width="13.5546875" style="381" customWidth="1"/>
    <col min="4872" max="4872" width="13.109375" style="381" customWidth="1"/>
    <col min="4873" max="4873" width="13.33203125" style="381" customWidth="1"/>
    <col min="4874" max="4874" width="12.44140625" style="381" customWidth="1"/>
    <col min="4875" max="4875" width="12.88671875" style="381" customWidth="1"/>
    <col min="4876" max="4876" width="12.5546875" style="381" customWidth="1"/>
    <col min="4877" max="4878" width="13.33203125" style="381" customWidth="1"/>
    <col min="4879" max="4879" width="10" style="381" bestFit="1" customWidth="1"/>
    <col min="4880" max="4886" width="9.109375" style="381"/>
    <col min="4887" max="4887" width="9.5546875" style="381" bestFit="1" customWidth="1"/>
    <col min="4888" max="4970" width="9.109375" style="381"/>
    <col min="4971" max="4971" width="9.5546875" style="381" bestFit="1" customWidth="1"/>
    <col min="4972" max="4981" width="9.6640625" style="381" customWidth="1"/>
    <col min="4982" max="4982" width="11.109375" style="381" customWidth="1"/>
    <col min="4983" max="4983" width="9.5546875" style="381" bestFit="1" customWidth="1"/>
    <col min="4984" max="4984" width="11" style="381" customWidth="1"/>
    <col min="4985" max="5008" width="9.5546875" style="381" bestFit="1" customWidth="1"/>
    <col min="5009" max="5014" width="9.6640625" style="381" customWidth="1"/>
    <col min="5015" max="5015" width="10.88671875" style="381" customWidth="1"/>
    <col min="5016" max="5016" width="11" style="381" customWidth="1"/>
    <col min="5017" max="5030" width="9.5546875" style="381" bestFit="1" customWidth="1"/>
    <col min="5031" max="5120" width="9.109375" style="381"/>
    <col min="5121" max="5121" width="3.5546875" style="381" customWidth="1"/>
    <col min="5122" max="5122" width="9.109375" style="381"/>
    <col min="5123" max="5123" width="13.44140625" style="381" customWidth="1"/>
    <col min="5124" max="5124" width="12.44140625" style="381" customWidth="1"/>
    <col min="5125" max="5125" width="14" style="381" customWidth="1"/>
    <col min="5126" max="5126" width="13.109375" style="381" customWidth="1"/>
    <col min="5127" max="5127" width="13.5546875" style="381" customWidth="1"/>
    <col min="5128" max="5128" width="13.109375" style="381" customWidth="1"/>
    <col min="5129" max="5129" width="13.33203125" style="381" customWidth="1"/>
    <col min="5130" max="5130" width="12.44140625" style="381" customWidth="1"/>
    <col min="5131" max="5131" width="12.88671875" style="381" customWidth="1"/>
    <col min="5132" max="5132" width="12.5546875" style="381" customWidth="1"/>
    <col min="5133" max="5134" width="13.33203125" style="381" customWidth="1"/>
    <col min="5135" max="5135" width="10" style="381" bestFit="1" customWidth="1"/>
    <col min="5136" max="5142" width="9.109375" style="381"/>
    <col min="5143" max="5143" width="9.5546875" style="381" bestFit="1" customWidth="1"/>
    <col min="5144" max="5226" width="9.109375" style="381"/>
    <col min="5227" max="5227" width="9.5546875" style="381" bestFit="1" customWidth="1"/>
    <col min="5228" max="5237" width="9.6640625" style="381" customWidth="1"/>
    <col min="5238" max="5238" width="11.109375" style="381" customWidth="1"/>
    <col min="5239" max="5239" width="9.5546875" style="381" bestFit="1" customWidth="1"/>
    <col min="5240" max="5240" width="11" style="381" customWidth="1"/>
    <col min="5241" max="5264" width="9.5546875" style="381" bestFit="1" customWidth="1"/>
    <col min="5265" max="5270" width="9.6640625" style="381" customWidth="1"/>
    <col min="5271" max="5271" width="10.88671875" style="381" customWidth="1"/>
    <col min="5272" max="5272" width="11" style="381" customWidth="1"/>
    <col min="5273" max="5286" width="9.5546875" style="381" bestFit="1" customWidth="1"/>
    <col min="5287" max="5376" width="9.109375" style="381"/>
    <col min="5377" max="5377" width="3.5546875" style="381" customWidth="1"/>
    <col min="5378" max="5378" width="9.109375" style="381"/>
    <col min="5379" max="5379" width="13.44140625" style="381" customWidth="1"/>
    <col min="5380" max="5380" width="12.44140625" style="381" customWidth="1"/>
    <col min="5381" max="5381" width="14" style="381" customWidth="1"/>
    <col min="5382" max="5382" width="13.109375" style="381" customWidth="1"/>
    <col min="5383" max="5383" width="13.5546875" style="381" customWidth="1"/>
    <col min="5384" max="5384" width="13.109375" style="381" customWidth="1"/>
    <col min="5385" max="5385" width="13.33203125" style="381" customWidth="1"/>
    <col min="5386" max="5386" width="12.44140625" style="381" customWidth="1"/>
    <col min="5387" max="5387" width="12.88671875" style="381" customWidth="1"/>
    <col min="5388" max="5388" width="12.5546875" style="381" customWidth="1"/>
    <col min="5389" max="5390" width="13.33203125" style="381" customWidth="1"/>
    <col min="5391" max="5391" width="10" style="381" bestFit="1" customWidth="1"/>
    <col min="5392" max="5398" width="9.109375" style="381"/>
    <col min="5399" max="5399" width="9.5546875" style="381" bestFit="1" customWidth="1"/>
    <col min="5400" max="5482" width="9.109375" style="381"/>
    <col min="5483" max="5483" width="9.5546875" style="381" bestFit="1" customWidth="1"/>
    <col min="5484" max="5493" width="9.6640625" style="381" customWidth="1"/>
    <col min="5494" max="5494" width="11.109375" style="381" customWidth="1"/>
    <col min="5495" max="5495" width="9.5546875" style="381" bestFit="1" customWidth="1"/>
    <col min="5496" max="5496" width="11" style="381" customWidth="1"/>
    <col min="5497" max="5520" width="9.5546875" style="381" bestFit="1" customWidth="1"/>
    <col min="5521" max="5526" width="9.6640625" style="381" customWidth="1"/>
    <col min="5527" max="5527" width="10.88671875" style="381" customWidth="1"/>
    <col min="5528" max="5528" width="11" style="381" customWidth="1"/>
    <col min="5529" max="5542" width="9.5546875" style="381" bestFit="1" customWidth="1"/>
    <col min="5543" max="5632" width="9.109375" style="381"/>
    <col min="5633" max="5633" width="3.5546875" style="381" customWidth="1"/>
    <col min="5634" max="5634" width="9.109375" style="381"/>
    <col min="5635" max="5635" width="13.44140625" style="381" customWidth="1"/>
    <col min="5636" max="5636" width="12.44140625" style="381" customWidth="1"/>
    <col min="5637" max="5637" width="14" style="381" customWidth="1"/>
    <col min="5638" max="5638" width="13.109375" style="381" customWidth="1"/>
    <col min="5639" max="5639" width="13.5546875" style="381" customWidth="1"/>
    <col min="5640" max="5640" width="13.109375" style="381" customWidth="1"/>
    <col min="5641" max="5641" width="13.33203125" style="381" customWidth="1"/>
    <col min="5642" max="5642" width="12.44140625" style="381" customWidth="1"/>
    <col min="5643" max="5643" width="12.88671875" style="381" customWidth="1"/>
    <col min="5644" max="5644" width="12.5546875" style="381" customWidth="1"/>
    <col min="5645" max="5646" width="13.33203125" style="381" customWidth="1"/>
    <col min="5647" max="5647" width="10" style="381" bestFit="1" customWidth="1"/>
    <col min="5648" max="5654" width="9.109375" style="381"/>
    <col min="5655" max="5655" width="9.5546875" style="381" bestFit="1" customWidth="1"/>
    <col min="5656" max="5738" width="9.109375" style="381"/>
    <col min="5739" max="5739" width="9.5546875" style="381" bestFit="1" customWidth="1"/>
    <col min="5740" max="5749" width="9.6640625" style="381" customWidth="1"/>
    <col min="5750" max="5750" width="11.109375" style="381" customWidth="1"/>
    <col min="5751" max="5751" width="9.5546875" style="381" bestFit="1" customWidth="1"/>
    <col min="5752" max="5752" width="11" style="381" customWidth="1"/>
    <col min="5753" max="5776" width="9.5546875" style="381" bestFit="1" customWidth="1"/>
    <col min="5777" max="5782" width="9.6640625" style="381" customWidth="1"/>
    <col min="5783" max="5783" width="10.88671875" style="381" customWidth="1"/>
    <col min="5784" max="5784" width="11" style="381" customWidth="1"/>
    <col min="5785" max="5798" width="9.5546875" style="381" bestFit="1" customWidth="1"/>
    <col min="5799" max="5888" width="9.109375" style="381"/>
    <col min="5889" max="5889" width="3.5546875" style="381" customWidth="1"/>
    <col min="5890" max="5890" width="9.109375" style="381"/>
    <col min="5891" max="5891" width="13.44140625" style="381" customWidth="1"/>
    <col min="5892" max="5892" width="12.44140625" style="381" customWidth="1"/>
    <col min="5893" max="5893" width="14" style="381" customWidth="1"/>
    <col min="5894" max="5894" width="13.109375" style="381" customWidth="1"/>
    <col min="5895" max="5895" width="13.5546875" style="381" customWidth="1"/>
    <col min="5896" max="5896" width="13.109375" style="381" customWidth="1"/>
    <col min="5897" max="5897" width="13.33203125" style="381" customWidth="1"/>
    <col min="5898" max="5898" width="12.44140625" style="381" customWidth="1"/>
    <col min="5899" max="5899" width="12.88671875" style="381" customWidth="1"/>
    <col min="5900" max="5900" width="12.5546875" style="381" customWidth="1"/>
    <col min="5901" max="5902" width="13.33203125" style="381" customWidth="1"/>
    <col min="5903" max="5903" width="10" style="381" bestFit="1" customWidth="1"/>
    <col min="5904" max="5910" width="9.109375" style="381"/>
    <col min="5911" max="5911" width="9.5546875" style="381" bestFit="1" customWidth="1"/>
    <col min="5912" max="5994" width="9.109375" style="381"/>
    <col min="5995" max="5995" width="9.5546875" style="381" bestFit="1" customWidth="1"/>
    <col min="5996" max="6005" width="9.6640625" style="381" customWidth="1"/>
    <col min="6006" max="6006" width="11.109375" style="381" customWidth="1"/>
    <col min="6007" max="6007" width="9.5546875" style="381" bestFit="1" customWidth="1"/>
    <col min="6008" max="6008" width="11" style="381" customWidth="1"/>
    <col min="6009" max="6032" width="9.5546875" style="381" bestFit="1" customWidth="1"/>
    <col min="6033" max="6038" width="9.6640625" style="381" customWidth="1"/>
    <col min="6039" max="6039" width="10.88671875" style="381" customWidth="1"/>
    <col min="6040" max="6040" width="11" style="381" customWidth="1"/>
    <col min="6041" max="6054" width="9.5546875" style="381" bestFit="1" customWidth="1"/>
    <col min="6055" max="6144" width="9.109375" style="381"/>
    <col min="6145" max="6145" width="3.5546875" style="381" customWidth="1"/>
    <col min="6146" max="6146" width="9.109375" style="381"/>
    <col min="6147" max="6147" width="13.44140625" style="381" customWidth="1"/>
    <col min="6148" max="6148" width="12.44140625" style="381" customWidth="1"/>
    <col min="6149" max="6149" width="14" style="381" customWidth="1"/>
    <col min="6150" max="6150" width="13.109375" style="381" customWidth="1"/>
    <col min="6151" max="6151" width="13.5546875" style="381" customWidth="1"/>
    <col min="6152" max="6152" width="13.109375" style="381" customWidth="1"/>
    <col min="6153" max="6153" width="13.33203125" style="381" customWidth="1"/>
    <col min="6154" max="6154" width="12.44140625" style="381" customWidth="1"/>
    <col min="6155" max="6155" width="12.88671875" style="381" customWidth="1"/>
    <col min="6156" max="6156" width="12.5546875" style="381" customWidth="1"/>
    <col min="6157" max="6158" width="13.33203125" style="381" customWidth="1"/>
    <col min="6159" max="6159" width="10" style="381" bestFit="1" customWidth="1"/>
    <col min="6160" max="6166" width="9.109375" style="381"/>
    <col min="6167" max="6167" width="9.5546875" style="381" bestFit="1" customWidth="1"/>
    <col min="6168" max="6250" width="9.109375" style="381"/>
    <col min="6251" max="6251" width="9.5546875" style="381" bestFit="1" customWidth="1"/>
    <col min="6252" max="6261" width="9.6640625" style="381" customWidth="1"/>
    <col min="6262" max="6262" width="11.109375" style="381" customWidth="1"/>
    <col min="6263" max="6263" width="9.5546875" style="381" bestFit="1" customWidth="1"/>
    <col min="6264" max="6264" width="11" style="381" customWidth="1"/>
    <col min="6265" max="6288" width="9.5546875" style="381" bestFit="1" customWidth="1"/>
    <col min="6289" max="6294" width="9.6640625" style="381" customWidth="1"/>
    <col min="6295" max="6295" width="10.88671875" style="381" customWidth="1"/>
    <col min="6296" max="6296" width="11" style="381" customWidth="1"/>
    <col min="6297" max="6310" width="9.5546875" style="381" bestFit="1" customWidth="1"/>
    <col min="6311" max="6400" width="9.109375" style="381"/>
    <col min="6401" max="6401" width="3.5546875" style="381" customWidth="1"/>
    <col min="6402" max="6402" width="9.109375" style="381"/>
    <col min="6403" max="6403" width="13.44140625" style="381" customWidth="1"/>
    <col min="6404" max="6404" width="12.44140625" style="381" customWidth="1"/>
    <col min="6405" max="6405" width="14" style="381" customWidth="1"/>
    <col min="6406" max="6406" width="13.109375" style="381" customWidth="1"/>
    <col min="6407" max="6407" width="13.5546875" style="381" customWidth="1"/>
    <col min="6408" max="6408" width="13.109375" style="381" customWidth="1"/>
    <col min="6409" max="6409" width="13.33203125" style="381" customWidth="1"/>
    <col min="6410" max="6410" width="12.44140625" style="381" customWidth="1"/>
    <col min="6411" max="6411" width="12.88671875" style="381" customWidth="1"/>
    <col min="6412" max="6412" width="12.5546875" style="381" customWidth="1"/>
    <col min="6413" max="6414" width="13.33203125" style="381" customWidth="1"/>
    <col min="6415" max="6415" width="10" style="381" bestFit="1" customWidth="1"/>
    <col min="6416" max="6422" width="9.109375" style="381"/>
    <col min="6423" max="6423" width="9.5546875" style="381" bestFit="1" customWidth="1"/>
    <col min="6424" max="6506" width="9.109375" style="381"/>
    <col min="6507" max="6507" width="9.5546875" style="381" bestFit="1" customWidth="1"/>
    <col min="6508" max="6517" width="9.6640625" style="381" customWidth="1"/>
    <col min="6518" max="6518" width="11.109375" style="381" customWidth="1"/>
    <col min="6519" max="6519" width="9.5546875" style="381" bestFit="1" customWidth="1"/>
    <col min="6520" max="6520" width="11" style="381" customWidth="1"/>
    <col min="6521" max="6544" width="9.5546875" style="381" bestFit="1" customWidth="1"/>
    <col min="6545" max="6550" width="9.6640625" style="381" customWidth="1"/>
    <col min="6551" max="6551" width="10.88671875" style="381" customWidth="1"/>
    <col min="6552" max="6552" width="11" style="381" customWidth="1"/>
    <col min="6553" max="6566" width="9.5546875" style="381" bestFit="1" customWidth="1"/>
    <col min="6567" max="6656" width="9.109375" style="381"/>
    <col min="6657" max="6657" width="3.5546875" style="381" customWidth="1"/>
    <col min="6658" max="6658" width="9.109375" style="381"/>
    <col min="6659" max="6659" width="13.44140625" style="381" customWidth="1"/>
    <col min="6660" max="6660" width="12.44140625" style="381" customWidth="1"/>
    <col min="6661" max="6661" width="14" style="381" customWidth="1"/>
    <col min="6662" max="6662" width="13.109375" style="381" customWidth="1"/>
    <col min="6663" max="6663" width="13.5546875" style="381" customWidth="1"/>
    <col min="6664" max="6664" width="13.109375" style="381" customWidth="1"/>
    <col min="6665" max="6665" width="13.33203125" style="381" customWidth="1"/>
    <col min="6666" max="6666" width="12.44140625" style="381" customWidth="1"/>
    <col min="6667" max="6667" width="12.88671875" style="381" customWidth="1"/>
    <col min="6668" max="6668" width="12.5546875" style="381" customWidth="1"/>
    <col min="6669" max="6670" width="13.33203125" style="381" customWidth="1"/>
    <col min="6671" max="6671" width="10" style="381" bestFit="1" customWidth="1"/>
    <col min="6672" max="6678" width="9.109375" style="381"/>
    <col min="6679" max="6679" width="9.5546875" style="381" bestFit="1" customWidth="1"/>
    <col min="6680" max="6762" width="9.109375" style="381"/>
    <col min="6763" max="6763" width="9.5546875" style="381" bestFit="1" customWidth="1"/>
    <col min="6764" max="6773" width="9.6640625" style="381" customWidth="1"/>
    <col min="6774" max="6774" width="11.109375" style="381" customWidth="1"/>
    <col min="6775" max="6775" width="9.5546875" style="381" bestFit="1" customWidth="1"/>
    <col min="6776" max="6776" width="11" style="381" customWidth="1"/>
    <col min="6777" max="6800" width="9.5546875" style="381" bestFit="1" customWidth="1"/>
    <col min="6801" max="6806" width="9.6640625" style="381" customWidth="1"/>
    <col min="6807" max="6807" width="10.88671875" style="381" customWidth="1"/>
    <col min="6808" max="6808" width="11" style="381" customWidth="1"/>
    <col min="6809" max="6822" width="9.5546875" style="381" bestFit="1" customWidth="1"/>
    <col min="6823" max="6912" width="9.109375" style="381"/>
    <col min="6913" max="6913" width="3.5546875" style="381" customWidth="1"/>
    <col min="6914" max="6914" width="9.109375" style="381"/>
    <col min="6915" max="6915" width="13.44140625" style="381" customWidth="1"/>
    <col min="6916" max="6916" width="12.44140625" style="381" customWidth="1"/>
    <col min="6917" max="6917" width="14" style="381" customWidth="1"/>
    <col min="6918" max="6918" width="13.109375" style="381" customWidth="1"/>
    <col min="6919" max="6919" width="13.5546875" style="381" customWidth="1"/>
    <col min="6920" max="6920" width="13.109375" style="381" customWidth="1"/>
    <col min="6921" max="6921" width="13.33203125" style="381" customWidth="1"/>
    <col min="6922" max="6922" width="12.44140625" style="381" customWidth="1"/>
    <col min="6923" max="6923" width="12.88671875" style="381" customWidth="1"/>
    <col min="6924" max="6924" width="12.5546875" style="381" customWidth="1"/>
    <col min="6925" max="6926" width="13.33203125" style="381" customWidth="1"/>
    <col min="6927" max="6927" width="10" style="381" bestFit="1" customWidth="1"/>
    <col min="6928" max="6934" width="9.109375" style="381"/>
    <col min="6935" max="6935" width="9.5546875" style="381" bestFit="1" customWidth="1"/>
    <col min="6936" max="7018" width="9.109375" style="381"/>
    <col min="7019" max="7019" width="9.5546875" style="381" bestFit="1" customWidth="1"/>
    <col min="7020" max="7029" width="9.6640625" style="381" customWidth="1"/>
    <col min="7030" max="7030" width="11.109375" style="381" customWidth="1"/>
    <col min="7031" max="7031" width="9.5546875" style="381" bestFit="1" customWidth="1"/>
    <col min="7032" max="7032" width="11" style="381" customWidth="1"/>
    <col min="7033" max="7056" width="9.5546875" style="381" bestFit="1" customWidth="1"/>
    <col min="7057" max="7062" width="9.6640625" style="381" customWidth="1"/>
    <col min="7063" max="7063" width="10.88671875" style="381" customWidth="1"/>
    <col min="7064" max="7064" width="11" style="381" customWidth="1"/>
    <col min="7065" max="7078" width="9.5546875" style="381" bestFit="1" customWidth="1"/>
    <col min="7079" max="7168" width="9.109375" style="381"/>
    <col min="7169" max="7169" width="3.5546875" style="381" customWidth="1"/>
    <col min="7170" max="7170" width="9.109375" style="381"/>
    <col min="7171" max="7171" width="13.44140625" style="381" customWidth="1"/>
    <col min="7172" max="7172" width="12.44140625" style="381" customWidth="1"/>
    <col min="7173" max="7173" width="14" style="381" customWidth="1"/>
    <col min="7174" max="7174" width="13.109375" style="381" customWidth="1"/>
    <col min="7175" max="7175" width="13.5546875" style="381" customWidth="1"/>
    <col min="7176" max="7176" width="13.109375" style="381" customWidth="1"/>
    <col min="7177" max="7177" width="13.33203125" style="381" customWidth="1"/>
    <col min="7178" max="7178" width="12.44140625" style="381" customWidth="1"/>
    <col min="7179" max="7179" width="12.88671875" style="381" customWidth="1"/>
    <col min="7180" max="7180" width="12.5546875" style="381" customWidth="1"/>
    <col min="7181" max="7182" width="13.33203125" style="381" customWidth="1"/>
    <col min="7183" max="7183" width="10" style="381" bestFit="1" customWidth="1"/>
    <col min="7184" max="7190" width="9.109375" style="381"/>
    <col min="7191" max="7191" width="9.5546875" style="381" bestFit="1" customWidth="1"/>
    <col min="7192" max="7274" width="9.109375" style="381"/>
    <col min="7275" max="7275" width="9.5546875" style="381" bestFit="1" customWidth="1"/>
    <col min="7276" max="7285" width="9.6640625" style="381" customWidth="1"/>
    <col min="7286" max="7286" width="11.109375" style="381" customWidth="1"/>
    <col min="7287" max="7287" width="9.5546875" style="381" bestFit="1" customWidth="1"/>
    <col min="7288" max="7288" width="11" style="381" customWidth="1"/>
    <col min="7289" max="7312" width="9.5546875" style="381" bestFit="1" customWidth="1"/>
    <col min="7313" max="7318" width="9.6640625" style="381" customWidth="1"/>
    <col min="7319" max="7319" width="10.88671875" style="381" customWidth="1"/>
    <col min="7320" max="7320" width="11" style="381" customWidth="1"/>
    <col min="7321" max="7334" width="9.5546875" style="381" bestFit="1" customWidth="1"/>
    <col min="7335" max="7424" width="9.109375" style="381"/>
    <col min="7425" max="7425" width="3.5546875" style="381" customWidth="1"/>
    <col min="7426" max="7426" width="9.109375" style="381"/>
    <col min="7427" max="7427" width="13.44140625" style="381" customWidth="1"/>
    <col min="7428" max="7428" width="12.44140625" style="381" customWidth="1"/>
    <col min="7429" max="7429" width="14" style="381" customWidth="1"/>
    <col min="7430" max="7430" width="13.109375" style="381" customWidth="1"/>
    <col min="7431" max="7431" width="13.5546875" style="381" customWidth="1"/>
    <col min="7432" max="7432" width="13.109375" style="381" customWidth="1"/>
    <col min="7433" max="7433" width="13.33203125" style="381" customWidth="1"/>
    <col min="7434" max="7434" width="12.44140625" style="381" customWidth="1"/>
    <col min="7435" max="7435" width="12.88671875" style="381" customWidth="1"/>
    <col min="7436" max="7436" width="12.5546875" style="381" customWidth="1"/>
    <col min="7437" max="7438" width="13.33203125" style="381" customWidth="1"/>
    <col min="7439" max="7439" width="10" style="381" bestFit="1" customWidth="1"/>
    <col min="7440" max="7446" width="9.109375" style="381"/>
    <col min="7447" max="7447" width="9.5546875" style="381" bestFit="1" customWidth="1"/>
    <col min="7448" max="7530" width="9.109375" style="381"/>
    <col min="7531" max="7531" width="9.5546875" style="381" bestFit="1" customWidth="1"/>
    <col min="7532" max="7541" width="9.6640625" style="381" customWidth="1"/>
    <col min="7542" max="7542" width="11.109375" style="381" customWidth="1"/>
    <col min="7543" max="7543" width="9.5546875" style="381" bestFit="1" customWidth="1"/>
    <col min="7544" max="7544" width="11" style="381" customWidth="1"/>
    <col min="7545" max="7568" width="9.5546875" style="381" bestFit="1" customWidth="1"/>
    <col min="7569" max="7574" width="9.6640625" style="381" customWidth="1"/>
    <col min="7575" max="7575" width="10.88671875" style="381" customWidth="1"/>
    <col min="7576" max="7576" width="11" style="381" customWidth="1"/>
    <col min="7577" max="7590" width="9.5546875" style="381" bestFit="1" customWidth="1"/>
    <col min="7591" max="7680" width="9.109375" style="381"/>
    <col min="7681" max="7681" width="3.5546875" style="381" customWidth="1"/>
    <col min="7682" max="7682" width="9.109375" style="381"/>
    <col min="7683" max="7683" width="13.44140625" style="381" customWidth="1"/>
    <col min="7684" max="7684" width="12.44140625" style="381" customWidth="1"/>
    <col min="7685" max="7685" width="14" style="381" customWidth="1"/>
    <col min="7686" max="7686" width="13.109375" style="381" customWidth="1"/>
    <col min="7687" max="7687" width="13.5546875" style="381" customWidth="1"/>
    <col min="7688" max="7688" width="13.109375" style="381" customWidth="1"/>
    <col min="7689" max="7689" width="13.33203125" style="381" customWidth="1"/>
    <col min="7690" max="7690" width="12.44140625" style="381" customWidth="1"/>
    <col min="7691" max="7691" width="12.88671875" style="381" customWidth="1"/>
    <col min="7692" max="7692" width="12.5546875" style="381" customWidth="1"/>
    <col min="7693" max="7694" width="13.33203125" style="381" customWidth="1"/>
    <col min="7695" max="7695" width="10" style="381" bestFit="1" customWidth="1"/>
    <col min="7696" max="7702" width="9.109375" style="381"/>
    <col min="7703" max="7703" width="9.5546875" style="381" bestFit="1" customWidth="1"/>
    <col min="7704" max="7786" width="9.109375" style="381"/>
    <col min="7787" max="7787" width="9.5546875" style="381" bestFit="1" customWidth="1"/>
    <col min="7788" max="7797" width="9.6640625" style="381" customWidth="1"/>
    <col min="7798" max="7798" width="11.109375" style="381" customWidth="1"/>
    <col min="7799" max="7799" width="9.5546875" style="381" bestFit="1" customWidth="1"/>
    <col min="7800" max="7800" width="11" style="381" customWidth="1"/>
    <col min="7801" max="7824" width="9.5546875" style="381" bestFit="1" customWidth="1"/>
    <col min="7825" max="7830" width="9.6640625" style="381" customWidth="1"/>
    <col min="7831" max="7831" width="10.88671875" style="381" customWidth="1"/>
    <col min="7832" max="7832" width="11" style="381" customWidth="1"/>
    <col min="7833" max="7846" width="9.5546875" style="381" bestFit="1" customWidth="1"/>
    <col min="7847" max="7936" width="9.109375" style="381"/>
    <col min="7937" max="7937" width="3.5546875" style="381" customWidth="1"/>
    <col min="7938" max="7938" width="9.109375" style="381"/>
    <col min="7939" max="7939" width="13.44140625" style="381" customWidth="1"/>
    <col min="7940" max="7940" width="12.44140625" style="381" customWidth="1"/>
    <col min="7941" max="7941" width="14" style="381" customWidth="1"/>
    <col min="7942" max="7942" width="13.109375" style="381" customWidth="1"/>
    <col min="7943" max="7943" width="13.5546875" style="381" customWidth="1"/>
    <col min="7944" max="7944" width="13.109375" style="381" customWidth="1"/>
    <col min="7945" max="7945" width="13.33203125" style="381" customWidth="1"/>
    <col min="7946" max="7946" width="12.44140625" style="381" customWidth="1"/>
    <col min="7947" max="7947" width="12.88671875" style="381" customWidth="1"/>
    <col min="7948" max="7948" width="12.5546875" style="381" customWidth="1"/>
    <col min="7949" max="7950" width="13.33203125" style="381" customWidth="1"/>
    <col min="7951" max="7951" width="10" style="381" bestFit="1" customWidth="1"/>
    <col min="7952" max="7958" width="9.109375" style="381"/>
    <col min="7959" max="7959" width="9.5546875" style="381" bestFit="1" customWidth="1"/>
    <col min="7960" max="8042" width="9.109375" style="381"/>
    <col min="8043" max="8043" width="9.5546875" style="381" bestFit="1" customWidth="1"/>
    <col min="8044" max="8053" width="9.6640625" style="381" customWidth="1"/>
    <col min="8054" max="8054" width="11.109375" style="381" customWidth="1"/>
    <col min="8055" max="8055" width="9.5546875" style="381" bestFit="1" customWidth="1"/>
    <col min="8056" max="8056" width="11" style="381" customWidth="1"/>
    <col min="8057" max="8080" width="9.5546875" style="381" bestFit="1" customWidth="1"/>
    <col min="8081" max="8086" width="9.6640625" style="381" customWidth="1"/>
    <col min="8087" max="8087" width="10.88671875" style="381" customWidth="1"/>
    <col min="8088" max="8088" width="11" style="381" customWidth="1"/>
    <col min="8089" max="8102" width="9.5546875" style="381" bestFit="1" customWidth="1"/>
    <col min="8103" max="8192" width="9.109375" style="381"/>
    <col min="8193" max="8193" width="3.5546875" style="381" customWidth="1"/>
    <col min="8194" max="8194" width="9.109375" style="381"/>
    <col min="8195" max="8195" width="13.44140625" style="381" customWidth="1"/>
    <col min="8196" max="8196" width="12.44140625" style="381" customWidth="1"/>
    <col min="8197" max="8197" width="14" style="381" customWidth="1"/>
    <col min="8198" max="8198" width="13.109375" style="381" customWidth="1"/>
    <col min="8199" max="8199" width="13.5546875" style="381" customWidth="1"/>
    <col min="8200" max="8200" width="13.109375" style="381" customWidth="1"/>
    <col min="8201" max="8201" width="13.33203125" style="381" customWidth="1"/>
    <col min="8202" max="8202" width="12.44140625" style="381" customWidth="1"/>
    <col min="8203" max="8203" width="12.88671875" style="381" customWidth="1"/>
    <col min="8204" max="8204" width="12.5546875" style="381" customWidth="1"/>
    <col min="8205" max="8206" width="13.33203125" style="381" customWidth="1"/>
    <col min="8207" max="8207" width="10" style="381" bestFit="1" customWidth="1"/>
    <col min="8208" max="8214" width="9.109375" style="381"/>
    <col min="8215" max="8215" width="9.5546875" style="381" bestFit="1" customWidth="1"/>
    <col min="8216" max="8298" width="9.109375" style="381"/>
    <col min="8299" max="8299" width="9.5546875" style="381" bestFit="1" customWidth="1"/>
    <col min="8300" max="8309" width="9.6640625" style="381" customWidth="1"/>
    <col min="8310" max="8310" width="11.109375" style="381" customWidth="1"/>
    <col min="8311" max="8311" width="9.5546875" style="381" bestFit="1" customWidth="1"/>
    <col min="8312" max="8312" width="11" style="381" customWidth="1"/>
    <col min="8313" max="8336" width="9.5546875" style="381" bestFit="1" customWidth="1"/>
    <col min="8337" max="8342" width="9.6640625" style="381" customWidth="1"/>
    <col min="8343" max="8343" width="10.88671875" style="381" customWidth="1"/>
    <col min="8344" max="8344" width="11" style="381" customWidth="1"/>
    <col min="8345" max="8358" width="9.5546875" style="381" bestFit="1" customWidth="1"/>
    <col min="8359" max="8448" width="9.109375" style="381"/>
    <col min="8449" max="8449" width="3.5546875" style="381" customWidth="1"/>
    <col min="8450" max="8450" width="9.109375" style="381"/>
    <col min="8451" max="8451" width="13.44140625" style="381" customWidth="1"/>
    <col min="8452" max="8452" width="12.44140625" style="381" customWidth="1"/>
    <col min="8453" max="8453" width="14" style="381" customWidth="1"/>
    <col min="8454" max="8454" width="13.109375" style="381" customWidth="1"/>
    <col min="8455" max="8455" width="13.5546875" style="381" customWidth="1"/>
    <col min="8456" max="8456" width="13.109375" style="381" customWidth="1"/>
    <col min="8457" max="8457" width="13.33203125" style="381" customWidth="1"/>
    <col min="8458" max="8458" width="12.44140625" style="381" customWidth="1"/>
    <col min="8459" max="8459" width="12.88671875" style="381" customWidth="1"/>
    <col min="8460" max="8460" width="12.5546875" style="381" customWidth="1"/>
    <col min="8461" max="8462" width="13.33203125" style="381" customWidth="1"/>
    <col min="8463" max="8463" width="10" style="381" bestFit="1" customWidth="1"/>
    <col min="8464" max="8470" width="9.109375" style="381"/>
    <col min="8471" max="8471" width="9.5546875" style="381" bestFit="1" customWidth="1"/>
    <col min="8472" max="8554" width="9.109375" style="381"/>
    <col min="8555" max="8555" width="9.5546875" style="381" bestFit="1" customWidth="1"/>
    <col min="8556" max="8565" width="9.6640625" style="381" customWidth="1"/>
    <col min="8566" max="8566" width="11.109375" style="381" customWidth="1"/>
    <col min="8567" max="8567" width="9.5546875" style="381" bestFit="1" customWidth="1"/>
    <col min="8568" max="8568" width="11" style="381" customWidth="1"/>
    <col min="8569" max="8592" width="9.5546875" style="381" bestFit="1" customWidth="1"/>
    <col min="8593" max="8598" width="9.6640625" style="381" customWidth="1"/>
    <col min="8599" max="8599" width="10.88671875" style="381" customWidth="1"/>
    <col min="8600" max="8600" width="11" style="381" customWidth="1"/>
    <col min="8601" max="8614" width="9.5546875" style="381" bestFit="1" customWidth="1"/>
    <col min="8615" max="8704" width="9.109375" style="381"/>
    <col min="8705" max="8705" width="3.5546875" style="381" customWidth="1"/>
    <col min="8706" max="8706" width="9.109375" style="381"/>
    <col min="8707" max="8707" width="13.44140625" style="381" customWidth="1"/>
    <col min="8708" max="8708" width="12.44140625" style="381" customWidth="1"/>
    <col min="8709" max="8709" width="14" style="381" customWidth="1"/>
    <col min="8710" max="8710" width="13.109375" style="381" customWidth="1"/>
    <col min="8711" max="8711" width="13.5546875" style="381" customWidth="1"/>
    <col min="8712" max="8712" width="13.109375" style="381" customWidth="1"/>
    <col min="8713" max="8713" width="13.33203125" style="381" customWidth="1"/>
    <col min="8714" max="8714" width="12.44140625" style="381" customWidth="1"/>
    <col min="8715" max="8715" width="12.88671875" style="381" customWidth="1"/>
    <col min="8716" max="8716" width="12.5546875" style="381" customWidth="1"/>
    <col min="8717" max="8718" width="13.33203125" style="381" customWidth="1"/>
    <col min="8719" max="8719" width="10" style="381" bestFit="1" customWidth="1"/>
    <col min="8720" max="8726" width="9.109375" style="381"/>
    <col min="8727" max="8727" width="9.5546875" style="381" bestFit="1" customWidth="1"/>
    <col min="8728" max="8810" width="9.109375" style="381"/>
    <col min="8811" max="8811" width="9.5546875" style="381" bestFit="1" customWidth="1"/>
    <col min="8812" max="8821" width="9.6640625" style="381" customWidth="1"/>
    <col min="8822" max="8822" width="11.109375" style="381" customWidth="1"/>
    <col min="8823" max="8823" width="9.5546875" style="381" bestFit="1" customWidth="1"/>
    <col min="8824" max="8824" width="11" style="381" customWidth="1"/>
    <col min="8825" max="8848" width="9.5546875" style="381" bestFit="1" customWidth="1"/>
    <col min="8849" max="8854" width="9.6640625" style="381" customWidth="1"/>
    <col min="8855" max="8855" width="10.88671875" style="381" customWidth="1"/>
    <col min="8856" max="8856" width="11" style="381" customWidth="1"/>
    <col min="8857" max="8870" width="9.5546875" style="381" bestFit="1" customWidth="1"/>
    <col min="8871" max="8960" width="9.109375" style="381"/>
    <col min="8961" max="8961" width="3.5546875" style="381" customWidth="1"/>
    <col min="8962" max="8962" width="9.109375" style="381"/>
    <col min="8963" max="8963" width="13.44140625" style="381" customWidth="1"/>
    <col min="8964" max="8964" width="12.44140625" style="381" customWidth="1"/>
    <col min="8965" max="8965" width="14" style="381" customWidth="1"/>
    <col min="8966" max="8966" width="13.109375" style="381" customWidth="1"/>
    <col min="8967" max="8967" width="13.5546875" style="381" customWidth="1"/>
    <col min="8968" max="8968" width="13.109375" style="381" customWidth="1"/>
    <col min="8969" max="8969" width="13.33203125" style="381" customWidth="1"/>
    <col min="8970" max="8970" width="12.44140625" style="381" customWidth="1"/>
    <col min="8971" max="8971" width="12.88671875" style="381" customWidth="1"/>
    <col min="8972" max="8972" width="12.5546875" style="381" customWidth="1"/>
    <col min="8973" max="8974" width="13.33203125" style="381" customWidth="1"/>
    <col min="8975" max="8975" width="10" style="381" bestFit="1" customWidth="1"/>
    <col min="8976" max="8982" width="9.109375" style="381"/>
    <col min="8983" max="8983" width="9.5546875" style="381" bestFit="1" customWidth="1"/>
    <col min="8984" max="9066" width="9.109375" style="381"/>
    <col min="9067" max="9067" width="9.5546875" style="381" bestFit="1" customWidth="1"/>
    <col min="9068" max="9077" width="9.6640625" style="381" customWidth="1"/>
    <col min="9078" max="9078" width="11.109375" style="381" customWidth="1"/>
    <col min="9079" max="9079" width="9.5546875" style="381" bestFit="1" customWidth="1"/>
    <col min="9080" max="9080" width="11" style="381" customWidth="1"/>
    <col min="9081" max="9104" width="9.5546875" style="381" bestFit="1" customWidth="1"/>
    <col min="9105" max="9110" width="9.6640625" style="381" customWidth="1"/>
    <col min="9111" max="9111" width="10.88671875" style="381" customWidth="1"/>
    <col min="9112" max="9112" width="11" style="381" customWidth="1"/>
    <col min="9113" max="9126" width="9.5546875" style="381" bestFit="1" customWidth="1"/>
    <col min="9127" max="9216" width="9.109375" style="381"/>
    <col min="9217" max="9217" width="3.5546875" style="381" customWidth="1"/>
    <col min="9218" max="9218" width="9.109375" style="381"/>
    <col min="9219" max="9219" width="13.44140625" style="381" customWidth="1"/>
    <col min="9220" max="9220" width="12.44140625" style="381" customWidth="1"/>
    <col min="9221" max="9221" width="14" style="381" customWidth="1"/>
    <col min="9222" max="9222" width="13.109375" style="381" customWidth="1"/>
    <col min="9223" max="9223" width="13.5546875" style="381" customWidth="1"/>
    <col min="9224" max="9224" width="13.109375" style="381" customWidth="1"/>
    <col min="9225" max="9225" width="13.33203125" style="381" customWidth="1"/>
    <col min="9226" max="9226" width="12.44140625" style="381" customWidth="1"/>
    <col min="9227" max="9227" width="12.88671875" style="381" customWidth="1"/>
    <col min="9228" max="9228" width="12.5546875" style="381" customWidth="1"/>
    <col min="9229" max="9230" width="13.33203125" style="381" customWidth="1"/>
    <col min="9231" max="9231" width="10" style="381" bestFit="1" customWidth="1"/>
    <col min="9232" max="9238" width="9.109375" style="381"/>
    <col min="9239" max="9239" width="9.5546875" style="381" bestFit="1" customWidth="1"/>
    <col min="9240" max="9322" width="9.109375" style="381"/>
    <col min="9323" max="9323" width="9.5546875" style="381" bestFit="1" customWidth="1"/>
    <col min="9324" max="9333" width="9.6640625" style="381" customWidth="1"/>
    <col min="9334" max="9334" width="11.109375" style="381" customWidth="1"/>
    <col min="9335" max="9335" width="9.5546875" style="381" bestFit="1" customWidth="1"/>
    <col min="9336" max="9336" width="11" style="381" customWidth="1"/>
    <col min="9337" max="9360" width="9.5546875" style="381" bestFit="1" customWidth="1"/>
    <col min="9361" max="9366" width="9.6640625" style="381" customWidth="1"/>
    <col min="9367" max="9367" width="10.88671875" style="381" customWidth="1"/>
    <col min="9368" max="9368" width="11" style="381" customWidth="1"/>
    <col min="9369" max="9382" width="9.5546875" style="381" bestFit="1" customWidth="1"/>
    <col min="9383" max="9472" width="9.109375" style="381"/>
    <col min="9473" max="9473" width="3.5546875" style="381" customWidth="1"/>
    <col min="9474" max="9474" width="9.109375" style="381"/>
    <col min="9475" max="9475" width="13.44140625" style="381" customWidth="1"/>
    <col min="9476" max="9476" width="12.44140625" style="381" customWidth="1"/>
    <col min="9477" max="9477" width="14" style="381" customWidth="1"/>
    <col min="9478" max="9478" width="13.109375" style="381" customWidth="1"/>
    <col min="9479" max="9479" width="13.5546875" style="381" customWidth="1"/>
    <col min="9480" max="9480" width="13.109375" style="381" customWidth="1"/>
    <col min="9481" max="9481" width="13.33203125" style="381" customWidth="1"/>
    <col min="9482" max="9482" width="12.44140625" style="381" customWidth="1"/>
    <col min="9483" max="9483" width="12.88671875" style="381" customWidth="1"/>
    <col min="9484" max="9484" width="12.5546875" style="381" customWidth="1"/>
    <col min="9485" max="9486" width="13.33203125" style="381" customWidth="1"/>
    <col min="9487" max="9487" width="10" style="381" bestFit="1" customWidth="1"/>
    <col min="9488" max="9494" width="9.109375" style="381"/>
    <col min="9495" max="9495" width="9.5546875" style="381" bestFit="1" customWidth="1"/>
    <col min="9496" max="9578" width="9.109375" style="381"/>
    <col min="9579" max="9579" width="9.5546875" style="381" bestFit="1" customWidth="1"/>
    <col min="9580" max="9589" width="9.6640625" style="381" customWidth="1"/>
    <col min="9590" max="9590" width="11.109375" style="381" customWidth="1"/>
    <col min="9591" max="9591" width="9.5546875" style="381" bestFit="1" customWidth="1"/>
    <col min="9592" max="9592" width="11" style="381" customWidth="1"/>
    <col min="9593" max="9616" width="9.5546875" style="381" bestFit="1" customWidth="1"/>
    <col min="9617" max="9622" width="9.6640625" style="381" customWidth="1"/>
    <col min="9623" max="9623" width="10.88671875" style="381" customWidth="1"/>
    <col min="9624" max="9624" width="11" style="381" customWidth="1"/>
    <col min="9625" max="9638" width="9.5546875" style="381" bestFit="1" customWidth="1"/>
    <col min="9639" max="9728" width="9.109375" style="381"/>
    <col min="9729" max="9729" width="3.5546875" style="381" customWidth="1"/>
    <col min="9730" max="9730" width="9.109375" style="381"/>
    <col min="9731" max="9731" width="13.44140625" style="381" customWidth="1"/>
    <col min="9732" max="9732" width="12.44140625" style="381" customWidth="1"/>
    <col min="9733" max="9733" width="14" style="381" customWidth="1"/>
    <col min="9734" max="9734" width="13.109375" style="381" customWidth="1"/>
    <col min="9735" max="9735" width="13.5546875" style="381" customWidth="1"/>
    <col min="9736" max="9736" width="13.109375" style="381" customWidth="1"/>
    <col min="9737" max="9737" width="13.33203125" style="381" customWidth="1"/>
    <col min="9738" max="9738" width="12.44140625" style="381" customWidth="1"/>
    <col min="9739" max="9739" width="12.88671875" style="381" customWidth="1"/>
    <col min="9740" max="9740" width="12.5546875" style="381" customWidth="1"/>
    <col min="9741" max="9742" width="13.33203125" style="381" customWidth="1"/>
    <col min="9743" max="9743" width="10" style="381" bestFit="1" customWidth="1"/>
    <col min="9744" max="9750" width="9.109375" style="381"/>
    <col min="9751" max="9751" width="9.5546875" style="381" bestFit="1" customWidth="1"/>
    <col min="9752" max="9834" width="9.109375" style="381"/>
    <col min="9835" max="9835" width="9.5546875" style="381" bestFit="1" customWidth="1"/>
    <col min="9836" max="9845" width="9.6640625" style="381" customWidth="1"/>
    <col min="9846" max="9846" width="11.109375" style="381" customWidth="1"/>
    <col min="9847" max="9847" width="9.5546875" style="381" bestFit="1" customWidth="1"/>
    <col min="9848" max="9848" width="11" style="381" customWidth="1"/>
    <col min="9849" max="9872" width="9.5546875" style="381" bestFit="1" customWidth="1"/>
    <col min="9873" max="9878" width="9.6640625" style="381" customWidth="1"/>
    <col min="9879" max="9879" width="10.88671875" style="381" customWidth="1"/>
    <col min="9880" max="9880" width="11" style="381" customWidth="1"/>
    <col min="9881" max="9894" width="9.5546875" style="381" bestFit="1" customWidth="1"/>
    <col min="9895" max="9984" width="9.109375" style="381"/>
    <col min="9985" max="9985" width="3.5546875" style="381" customWidth="1"/>
    <col min="9986" max="9986" width="9.109375" style="381"/>
    <col min="9987" max="9987" width="13.44140625" style="381" customWidth="1"/>
    <col min="9988" max="9988" width="12.44140625" style="381" customWidth="1"/>
    <col min="9989" max="9989" width="14" style="381" customWidth="1"/>
    <col min="9990" max="9990" width="13.109375" style="381" customWidth="1"/>
    <col min="9991" max="9991" width="13.5546875" style="381" customWidth="1"/>
    <col min="9992" max="9992" width="13.109375" style="381" customWidth="1"/>
    <col min="9993" max="9993" width="13.33203125" style="381" customWidth="1"/>
    <col min="9994" max="9994" width="12.44140625" style="381" customWidth="1"/>
    <col min="9995" max="9995" width="12.88671875" style="381" customWidth="1"/>
    <col min="9996" max="9996" width="12.5546875" style="381" customWidth="1"/>
    <col min="9997" max="9998" width="13.33203125" style="381" customWidth="1"/>
    <col min="9999" max="9999" width="10" style="381" bestFit="1" customWidth="1"/>
    <col min="10000" max="10006" width="9.109375" style="381"/>
    <col min="10007" max="10007" width="9.5546875" style="381" bestFit="1" customWidth="1"/>
    <col min="10008" max="10090" width="9.109375" style="381"/>
    <col min="10091" max="10091" width="9.5546875" style="381" bestFit="1" customWidth="1"/>
    <col min="10092" max="10101" width="9.6640625" style="381" customWidth="1"/>
    <col min="10102" max="10102" width="11.109375" style="381" customWidth="1"/>
    <col min="10103" max="10103" width="9.5546875" style="381" bestFit="1" customWidth="1"/>
    <col min="10104" max="10104" width="11" style="381" customWidth="1"/>
    <col min="10105" max="10128" width="9.5546875" style="381" bestFit="1" customWidth="1"/>
    <col min="10129" max="10134" width="9.6640625" style="381" customWidth="1"/>
    <col min="10135" max="10135" width="10.88671875" style="381" customWidth="1"/>
    <col min="10136" max="10136" width="11" style="381" customWidth="1"/>
    <col min="10137" max="10150" width="9.5546875" style="381" bestFit="1" customWidth="1"/>
    <col min="10151" max="10240" width="9.109375" style="381"/>
    <col min="10241" max="10241" width="3.5546875" style="381" customWidth="1"/>
    <col min="10242" max="10242" width="9.109375" style="381"/>
    <col min="10243" max="10243" width="13.44140625" style="381" customWidth="1"/>
    <col min="10244" max="10244" width="12.44140625" style="381" customWidth="1"/>
    <col min="10245" max="10245" width="14" style="381" customWidth="1"/>
    <col min="10246" max="10246" width="13.109375" style="381" customWidth="1"/>
    <col min="10247" max="10247" width="13.5546875" style="381" customWidth="1"/>
    <col min="10248" max="10248" width="13.109375" style="381" customWidth="1"/>
    <col min="10249" max="10249" width="13.33203125" style="381" customWidth="1"/>
    <col min="10250" max="10250" width="12.44140625" style="381" customWidth="1"/>
    <col min="10251" max="10251" width="12.88671875" style="381" customWidth="1"/>
    <col min="10252" max="10252" width="12.5546875" style="381" customWidth="1"/>
    <col min="10253" max="10254" width="13.33203125" style="381" customWidth="1"/>
    <col min="10255" max="10255" width="10" style="381" bestFit="1" customWidth="1"/>
    <col min="10256" max="10262" width="9.109375" style="381"/>
    <col min="10263" max="10263" width="9.5546875" style="381" bestFit="1" customWidth="1"/>
    <col min="10264" max="10346" width="9.109375" style="381"/>
    <col min="10347" max="10347" width="9.5546875" style="381" bestFit="1" customWidth="1"/>
    <col min="10348" max="10357" width="9.6640625" style="381" customWidth="1"/>
    <col min="10358" max="10358" width="11.109375" style="381" customWidth="1"/>
    <col min="10359" max="10359" width="9.5546875" style="381" bestFit="1" customWidth="1"/>
    <col min="10360" max="10360" width="11" style="381" customWidth="1"/>
    <col min="10361" max="10384" width="9.5546875" style="381" bestFit="1" customWidth="1"/>
    <col min="10385" max="10390" width="9.6640625" style="381" customWidth="1"/>
    <col min="10391" max="10391" width="10.88671875" style="381" customWidth="1"/>
    <col min="10392" max="10392" width="11" style="381" customWidth="1"/>
    <col min="10393" max="10406" width="9.5546875" style="381" bestFit="1" customWidth="1"/>
    <col min="10407" max="10496" width="9.109375" style="381"/>
    <col min="10497" max="10497" width="3.5546875" style="381" customWidth="1"/>
    <col min="10498" max="10498" width="9.109375" style="381"/>
    <col min="10499" max="10499" width="13.44140625" style="381" customWidth="1"/>
    <col min="10500" max="10500" width="12.44140625" style="381" customWidth="1"/>
    <col min="10501" max="10501" width="14" style="381" customWidth="1"/>
    <col min="10502" max="10502" width="13.109375" style="381" customWidth="1"/>
    <col min="10503" max="10503" width="13.5546875" style="381" customWidth="1"/>
    <col min="10504" max="10504" width="13.109375" style="381" customWidth="1"/>
    <col min="10505" max="10505" width="13.33203125" style="381" customWidth="1"/>
    <col min="10506" max="10506" width="12.44140625" style="381" customWidth="1"/>
    <col min="10507" max="10507" width="12.88671875" style="381" customWidth="1"/>
    <col min="10508" max="10508" width="12.5546875" style="381" customWidth="1"/>
    <col min="10509" max="10510" width="13.33203125" style="381" customWidth="1"/>
    <col min="10511" max="10511" width="10" style="381" bestFit="1" customWidth="1"/>
    <col min="10512" max="10518" width="9.109375" style="381"/>
    <col min="10519" max="10519" width="9.5546875" style="381" bestFit="1" customWidth="1"/>
    <col min="10520" max="10602" width="9.109375" style="381"/>
    <col min="10603" max="10603" width="9.5546875" style="381" bestFit="1" customWidth="1"/>
    <col min="10604" max="10613" width="9.6640625" style="381" customWidth="1"/>
    <col min="10614" max="10614" width="11.109375" style="381" customWidth="1"/>
    <col min="10615" max="10615" width="9.5546875" style="381" bestFit="1" customWidth="1"/>
    <col min="10616" max="10616" width="11" style="381" customWidth="1"/>
    <col min="10617" max="10640" width="9.5546875" style="381" bestFit="1" customWidth="1"/>
    <col min="10641" max="10646" width="9.6640625" style="381" customWidth="1"/>
    <col min="10647" max="10647" width="10.88671875" style="381" customWidth="1"/>
    <col min="10648" max="10648" width="11" style="381" customWidth="1"/>
    <col min="10649" max="10662" width="9.5546875" style="381" bestFit="1" customWidth="1"/>
    <col min="10663" max="10752" width="9.109375" style="381"/>
    <col min="10753" max="10753" width="3.5546875" style="381" customWidth="1"/>
    <col min="10754" max="10754" width="9.109375" style="381"/>
    <col min="10755" max="10755" width="13.44140625" style="381" customWidth="1"/>
    <col min="10756" max="10756" width="12.44140625" style="381" customWidth="1"/>
    <col min="10757" max="10757" width="14" style="381" customWidth="1"/>
    <col min="10758" max="10758" width="13.109375" style="381" customWidth="1"/>
    <col min="10759" max="10759" width="13.5546875" style="381" customWidth="1"/>
    <col min="10760" max="10760" width="13.109375" style="381" customWidth="1"/>
    <col min="10761" max="10761" width="13.33203125" style="381" customWidth="1"/>
    <col min="10762" max="10762" width="12.44140625" style="381" customWidth="1"/>
    <col min="10763" max="10763" width="12.88671875" style="381" customWidth="1"/>
    <col min="10764" max="10764" width="12.5546875" style="381" customWidth="1"/>
    <col min="10765" max="10766" width="13.33203125" style="381" customWidth="1"/>
    <col min="10767" max="10767" width="10" style="381" bestFit="1" customWidth="1"/>
    <col min="10768" max="10774" width="9.109375" style="381"/>
    <col min="10775" max="10775" width="9.5546875" style="381" bestFit="1" customWidth="1"/>
    <col min="10776" max="10858" width="9.109375" style="381"/>
    <col min="10859" max="10859" width="9.5546875" style="381" bestFit="1" customWidth="1"/>
    <col min="10860" max="10869" width="9.6640625" style="381" customWidth="1"/>
    <col min="10870" max="10870" width="11.109375" style="381" customWidth="1"/>
    <col min="10871" max="10871" width="9.5546875" style="381" bestFit="1" customWidth="1"/>
    <col min="10872" max="10872" width="11" style="381" customWidth="1"/>
    <col min="10873" max="10896" width="9.5546875" style="381" bestFit="1" customWidth="1"/>
    <col min="10897" max="10902" width="9.6640625" style="381" customWidth="1"/>
    <col min="10903" max="10903" width="10.88671875" style="381" customWidth="1"/>
    <col min="10904" max="10904" width="11" style="381" customWidth="1"/>
    <col min="10905" max="10918" width="9.5546875" style="381" bestFit="1" customWidth="1"/>
    <col min="10919" max="11008" width="9.109375" style="381"/>
    <col min="11009" max="11009" width="3.5546875" style="381" customWidth="1"/>
    <col min="11010" max="11010" width="9.109375" style="381"/>
    <col min="11011" max="11011" width="13.44140625" style="381" customWidth="1"/>
    <col min="11012" max="11012" width="12.44140625" style="381" customWidth="1"/>
    <col min="11013" max="11013" width="14" style="381" customWidth="1"/>
    <col min="11014" max="11014" width="13.109375" style="381" customWidth="1"/>
    <col min="11015" max="11015" width="13.5546875" style="381" customWidth="1"/>
    <col min="11016" max="11016" width="13.109375" style="381" customWidth="1"/>
    <col min="11017" max="11017" width="13.33203125" style="381" customWidth="1"/>
    <col min="11018" max="11018" width="12.44140625" style="381" customWidth="1"/>
    <col min="11019" max="11019" width="12.88671875" style="381" customWidth="1"/>
    <col min="11020" max="11020" width="12.5546875" style="381" customWidth="1"/>
    <col min="11021" max="11022" width="13.33203125" style="381" customWidth="1"/>
    <col min="11023" max="11023" width="10" style="381" bestFit="1" customWidth="1"/>
    <col min="11024" max="11030" width="9.109375" style="381"/>
    <col min="11031" max="11031" width="9.5546875" style="381" bestFit="1" customWidth="1"/>
    <col min="11032" max="11114" width="9.109375" style="381"/>
    <col min="11115" max="11115" width="9.5546875" style="381" bestFit="1" customWidth="1"/>
    <col min="11116" max="11125" width="9.6640625" style="381" customWidth="1"/>
    <col min="11126" max="11126" width="11.109375" style="381" customWidth="1"/>
    <col min="11127" max="11127" width="9.5546875" style="381" bestFit="1" customWidth="1"/>
    <col min="11128" max="11128" width="11" style="381" customWidth="1"/>
    <col min="11129" max="11152" width="9.5546875" style="381" bestFit="1" customWidth="1"/>
    <col min="11153" max="11158" width="9.6640625" style="381" customWidth="1"/>
    <col min="11159" max="11159" width="10.88671875" style="381" customWidth="1"/>
    <col min="11160" max="11160" width="11" style="381" customWidth="1"/>
    <col min="11161" max="11174" width="9.5546875" style="381" bestFit="1" customWidth="1"/>
    <col min="11175" max="11264" width="9.109375" style="381"/>
    <col min="11265" max="11265" width="3.5546875" style="381" customWidth="1"/>
    <col min="11266" max="11266" width="9.109375" style="381"/>
    <col min="11267" max="11267" width="13.44140625" style="381" customWidth="1"/>
    <col min="11268" max="11268" width="12.44140625" style="381" customWidth="1"/>
    <col min="11269" max="11269" width="14" style="381" customWidth="1"/>
    <col min="11270" max="11270" width="13.109375" style="381" customWidth="1"/>
    <col min="11271" max="11271" width="13.5546875" style="381" customWidth="1"/>
    <col min="11272" max="11272" width="13.109375" style="381" customWidth="1"/>
    <col min="11273" max="11273" width="13.33203125" style="381" customWidth="1"/>
    <col min="11274" max="11274" width="12.44140625" style="381" customWidth="1"/>
    <col min="11275" max="11275" width="12.88671875" style="381" customWidth="1"/>
    <col min="11276" max="11276" width="12.5546875" style="381" customWidth="1"/>
    <col min="11277" max="11278" width="13.33203125" style="381" customWidth="1"/>
    <col min="11279" max="11279" width="10" style="381" bestFit="1" customWidth="1"/>
    <col min="11280" max="11286" width="9.109375" style="381"/>
    <col min="11287" max="11287" width="9.5546875" style="381" bestFit="1" customWidth="1"/>
    <col min="11288" max="11370" width="9.109375" style="381"/>
    <col min="11371" max="11371" width="9.5546875" style="381" bestFit="1" customWidth="1"/>
    <col min="11372" max="11381" width="9.6640625" style="381" customWidth="1"/>
    <col min="11382" max="11382" width="11.109375" style="381" customWidth="1"/>
    <col min="11383" max="11383" width="9.5546875" style="381" bestFit="1" customWidth="1"/>
    <col min="11384" max="11384" width="11" style="381" customWidth="1"/>
    <col min="11385" max="11408" width="9.5546875" style="381" bestFit="1" customWidth="1"/>
    <col min="11409" max="11414" width="9.6640625" style="381" customWidth="1"/>
    <col min="11415" max="11415" width="10.88671875" style="381" customWidth="1"/>
    <col min="11416" max="11416" width="11" style="381" customWidth="1"/>
    <col min="11417" max="11430" width="9.5546875" style="381" bestFit="1" customWidth="1"/>
    <col min="11431" max="11520" width="9.109375" style="381"/>
    <col min="11521" max="11521" width="3.5546875" style="381" customWidth="1"/>
    <col min="11522" max="11522" width="9.109375" style="381"/>
    <col min="11523" max="11523" width="13.44140625" style="381" customWidth="1"/>
    <col min="11524" max="11524" width="12.44140625" style="381" customWidth="1"/>
    <col min="11525" max="11525" width="14" style="381" customWidth="1"/>
    <col min="11526" max="11526" width="13.109375" style="381" customWidth="1"/>
    <col min="11527" max="11527" width="13.5546875" style="381" customWidth="1"/>
    <col min="11528" max="11528" width="13.109375" style="381" customWidth="1"/>
    <col min="11529" max="11529" width="13.33203125" style="381" customWidth="1"/>
    <col min="11530" max="11530" width="12.44140625" style="381" customWidth="1"/>
    <col min="11531" max="11531" width="12.88671875" style="381" customWidth="1"/>
    <col min="11532" max="11532" width="12.5546875" style="381" customWidth="1"/>
    <col min="11533" max="11534" width="13.33203125" style="381" customWidth="1"/>
    <col min="11535" max="11535" width="10" style="381" bestFit="1" customWidth="1"/>
    <col min="11536" max="11542" width="9.109375" style="381"/>
    <col min="11543" max="11543" width="9.5546875" style="381" bestFit="1" customWidth="1"/>
    <col min="11544" max="11626" width="9.109375" style="381"/>
    <col min="11627" max="11627" width="9.5546875" style="381" bestFit="1" customWidth="1"/>
    <col min="11628" max="11637" width="9.6640625" style="381" customWidth="1"/>
    <col min="11638" max="11638" width="11.109375" style="381" customWidth="1"/>
    <col min="11639" max="11639" width="9.5546875" style="381" bestFit="1" customWidth="1"/>
    <col min="11640" max="11640" width="11" style="381" customWidth="1"/>
    <col min="11641" max="11664" width="9.5546875" style="381" bestFit="1" customWidth="1"/>
    <col min="11665" max="11670" width="9.6640625" style="381" customWidth="1"/>
    <col min="11671" max="11671" width="10.88671875" style="381" customWidth="1"/>
    <col min="11672" max="11672" width="11" style="381" customWidth="1"/>
    <col min="11673" max="11686" width="9.5546875" style="381" bestFit="1" customWidth="1"/>
    <col min="11687" max="11776" width="9.109375" style="381"/>
    <col min="11777" max="11777" width="3.5546875" style="381" customWidth="1"/>
    <col min="11778" max="11778" width="9.109375" style="381"/>
    <col min="11779" max="11779" width="13.44140625" style="381" customWidth="1"/>
    <col min="11780" max="11780" width="12.44140625" style="381" customWidth="1"/>
    <col min="11781" max="11781" width="14" style="381" customWidth="1"/>
    <col min="11782" max="11782" width="13.109375" style="381" customWidth="1"/>
    <col min="11783" max="11783" width="13.5546875" style="381" customWidth="1"/>
    <col min="11784" max="11784" width="13.109375" style="381" customWidth="1"/>
    <col min="11785" max="11785" width="13.33203125" style="381" customWidth="1"/>
    <col min="11786" max="11786" width="12.44140625" style="381" customWidth="1"/>
    <col min="11787" max="11787" width="12.88671875" style="381" customWidth="1"/>
    <col min="11788" max="11788" width="12.5546875" style="381" customWidth="1"/>
    <col min="11789" max="11790" width="13.33203125" style="381" customWidth="1"/>
    <col min="11791" max="11791" width="10" style="381" bestFit="1" customWidth="1"/>
    <col min="11792" max="11798" width="9.109375" style="381"/>
    <col min="11799" max="11799" width="9.5546875" style="381" bestFit="1" customWidth="1"/>
    <col min="11800" max="11882" width="9.109375" style="381"/>
    <col min="11883" max="11883" width="9.5546875" style="381" bestFit="1" customWidth="1"/>
    <col min="11884" max="11893" width="9.6640625" style="381" customWidth="1"/>
    <col min="11894" max="11894" width="11.109375" style="381" customWidth="1"/>
    <col min="11895" max="11895" width="9.5546875" style="381" bestFit="1" customWidth="1"/>
    <col min="11896" max="11896" width="11" style="381" customWidth="1"/>
    <col min="11897" max="11920" width="9.5546875" style="381" bestFit="1" customWidth="1"/>
    <col min="11921" max="11926" width="9.6640625" style="381" customWidth="1"/>
    <col min="11927" max="11927" width="10.88671875" style="381" customWidth="1"/>
    <col min="11928" max="11928" width="11" style="381" customWidth="1"/>
    <col min="11929" max="11942" width="9.5546875" style="381" bestFit="1" customWidth="1"/>
    <col min="11943" max="12032" width="9.109375" style="381"/>
    <col min="12033" max="12033" width="3.5546875" style="381" customWidth="1"/>
    <col min="12034" max="12034" width="9.109375" style="381"/>
    <col min="12035" max="12035" width="13.44140625" style="381" customWidth="1"/>
    <col min="12036" max="12036" width="12.44140625" style="381" customWidth="1"/>
    <col min="12037" max="12037" width="14" style="381" customWidth="1"/>
    <col min="12038" max="12038" width="13.109375" style="381" customWidth="1"/>
    <col min="12039" max="12039" width="13.5546875" style="381" customWidth="1"/>
    <col min="12040" max="12040" width="13.109375" style="381" customWidth="1"/>
    <col min="12041" max="12041" width="13.33203125" style="381" customWidth="1"/>
    <col min="12042" max="12042" width="12.44140625" style="381" customWidth="1"/>
    <col min="12043" max="12043" width="12.88671875" style="381" customWidth="1"/>
    <col min="12044" max="12044" width="12.5546875" style="381" customWidth="1"/>
    <col min="12045" max="12046" width="13.33203125" style="381" customWidth="1"/>
    <col min="12047" max="12047" width="10" style="381" bestFit="1" customWidth="1"/>
    <col min="12048" max="12054" width="9.109375" style="381"/>
    <col min="12055" max="12055" width="9.5546875" style="381" bestFit="1" customWidth="1"/>
    <col min="12056" max="12138" width="9.109375" style="381"/>
    <col min="12139" max="12139" width="9.5546875" style="381" bestFit="1" customWidth="1"/>
    <col min="12140" max="12149" width="9.6640625" style="381" customWidth="1"/>
    <col min="12150" max="12150" width="11.109375" style="381" customWidth="1"/>
    <col min="12151" max="12151" width="9.5546875" style="381" bestFit="1" customWidth="1"/>
    <col min="12152" max="12152" width="11" style="381" customWidth="1"/>
    <col min="12153" max="12176" width="9.5546875" style="381" bestFit="1" customWidth="1"/>
    <col min="12177" max="12182" width="9.6640625" style="381" customWidth="1"/>
    <col min="12183" max="12183" width="10.88671875" style="381" customWidth="1"/>
    <col min="12184" max="12184" width="11" style="381" customWidth="1"/>
    <col min="12185" max="12198" width="9.5546875" style="381" bestFit="1" customWidth="1"/>
    <col min="12199" max="12288" width="9.109375" style="381"/>
    <col min="12289" max="12289" width="3.5546875" style="381" customWidth="1"/>
    <col min="12290" max="12290" width="9.109375" style="381"/>
    <col min="12291" max="12291" width="13.44140625" style="381" customWidth="1"/>
    <col min="12292" max="12292" width="12.44140625" style="381" customWidth="1"/>
    <col min="12293" max="12293" width="14" style="381" customWidth="1"/>
    <col min="12294" max="12294" width="13.109375" style="381" customWidth="1"/>
    <col min="12295" max="12295" width="13.5546875" style="381" customWidth="1"/>
    <col min="12296" max="12296" width="13.109375" style="381" customWidth="1"/>
    <col min="12297" max="12297" width="13.33203125" style="381" customWidth="1"/>
    <col min="12298" max="12298" width="12.44140625" style="381" customWidth="1"/>
    <col min="12299" max="12299" width="12.88671875" style="381" customWidth="1"/>
    <col min="12300" max="12300" width="12.5546875" style="381" customWidth="1"/>
    <col min="12301" max="12302" width="13.33203125" style="381" customWidth="1"/>
    <col min="12303" max="12303" width="10" style="381" bestFit="1" customWidth="1"/>
    <col min="12304" max="12310" width="9.109375" style="381"/>
    <col min="12311" max="12311" width="9.5546875" style="381" bestFit="1" customWidth="1"/>
    <col min="12312" max="12394" width="9.109375" style="381"/>
    <col min="12395" max="12395" width="9.5546875" style="381" bestFit="1" customWidth="1"/>
    <col min="12396" max="12405" width="9.6640625" style="381" customWidth="1"/>
    <col min="12406" max="12406" width="11.109375" style="381" customWidth="1"/>
    <col min="12407" max="12407" width="9.5546875" style="381" bestFit="1" customWidth="1"/>
    <col min="12408" max="12408" width="11" style="381" customWidth="1"/>
    <col min="12409" max="12432" width="9.5546875" style="381" bestFit="1" customWidth="1"/>
    <col min="12433" max="12438" width="9.6640625" style="381" customWidth="1"/>
    <col min="12439" max="12439" width="10.88671875" style="381" customWidth="1"/>
    <col min="12440" max="12440" width="11" style="381" customWidth="1"/>
    <col min="12441" max="12454" width="9.5546875" style="381" bestFit="1" customWidth="1"/>
    <col min="12455" max="12544" width="9.109375" style="381"/>
    <col min="12545" max="12545" width="3.5546875" style="381" customWidth="1"/>
    <col min="12546" max="12546" width="9.109375" style="381"/>
    <col min="12547" max="12547" width="13.44140625" style="381" customWidth="1"/>
    <col min="12548" max="12548" width="12.44140625" style="381" customWidth="1"/>
    <col min="12549" max="12549" width="14" style="381" customWidth="1"/>
    <col min="12550" max="12550" width="13.109375" style="381" customWidth="1"/>
    <col min="12551" max="12551" width="13.5546875" style="381" customWidth="1"/>
    <col min="12552" max="12552" width="13.109375" style="381" customWidth="1"/>
    <col min="12553" max="12553" width="13.33203125" style="381" customWidth="1"/>
    <col min="12554" max="12554" width="12.44140625" style="381" customWidth="1"/>
    <col min="12555" max="12555" width="12.88671875" style="381" customWidth="1"/>
    <col min="12556" max="12556" width="12.5546875" style="381" customWidth="1"/>
    <col min="12557" max="12558" width="13.33203125" style="381" customWidth="1"/>
    <col min="12559" max="12559" width="10" style="381" bestFit="1" customWidth="1"/>
    <col min="12560" max="12566" width="9.109375" style="381"/>
    <col min="12567" max="12567" width="9.5546875" style="381" bestFit="1" customWidth="1"/>
    <col min="12568" max="12650" width="9.109375" style="381"/>
    <col min="12651" max="12651" width="9.5546875" style="381" bestFit="1" customWidth="1"/>
    <col min="12652" max="12661" width="9.6640625" style="381" customWidth="1"/>
    <col min="12662" max="12662" width="11.109375" style="381" customWidth="1"/>
    <col min="12663" max="12663" width="9.5546875" style="381" bestFit="1" customWidth="1"/>
    <col min="12664" max="12664" width="11" style="381" customWidth="1"/>
    <col min="12665" max="12688" width="9.5546875" style="381" bestFit="1" customWidth="1"/>
    <col min="12689" max="12694" width="9.6640625" style="381" customWidth="1"/>
    <col min="12695" max="12695" width="10.88671875" style="381" customWidth="1"/>
    <col min="12696" max="12696" width="11" style="381" customWidth="1"/>
    <col min="12697" max="12710" width="9.5546875" style="381" bestFit="1" customWidth="1"/>
    <col min="12711" max="12800" width="9.109375" style="381"/>
    <col min="12801" max="12801" width="3.5546875" style="381" customWidth="1"/>
    <col min="12802" max="12802" width="9.109375" style="381"/>
    <col min="12803" max="12803" width="13.44140625" style="381" customWidth="1"/>
    <col min="12804" max="12804" width="12.44140625" style="381" customWidth="1"/>
    <col min="12805" max="12805" width="14" style="381" customWidth="1"/>
    <col min="12806" max="12806" width="13.109375" style="381" customWidth="1"/>
    <col min="12807" max="12807" width="13.5546875" style="381" customWidth="1"/>
    <col min="12808" max="12808" width="13.109375" style="381" customWidth="1"/>
    <col min="12809" max="12809" width="13.33203125" style="381" customWidth="1"/>
    <col min="12810" max="12810" width="12.44140625" style="381" customWidth="1"/>
    <col min="12811" max="12811" width="12.88671875" style="381" customWidth="1"/>
    <col min="12812" max="12812" width="12.5546875" style="381" customWidth="1"/>
    <col min="12813" max="12814" width="13.33203125" style="381" customWidth="1"/>
    <col min="12815" max="12815" width="10" style="381" bestFit="1" customWidth="1"/>
    <col min="12816" max="12822" width="9.109375" style="381"/>
    <col min="12823" max="12823" width="9.5546875" style="381" bestFit="1" customWidth="1"/>
    <col min="12824" max="12906" width="9.109375" style="381"/>
    <col min="12907" max="12907" width="9.5546875" style="381" bestFit="1" customWidth="1"/>
    <col min="12908" max="12917" width="9.6640625" style="381" customWidth="1"/>
    <col min="12918" max="12918" width="11.109375" style="381" customWidth="1"/>
    <col min="12919" max="12919" width="9.5546875" style="381" bestFit="1" customWidth="1"/>
    <col min="12920" max="12920" width="11" style="381" customWidth="1"/>
    <col min="12921" max="12944" width="9.5546875" style="381" bestFit="1" customWidth="1"/>
    <col min="12945" max="12950" width="9.6640625" style="381" customWidth="1"/>
    <col min="12951" max="12951" width="10.88671875" style="381" customWidth="1"/>
    <col min="12952" max="12952" width="11" style="381" customWidth="1"/>
    <col min="12953" max="12966" width="9.5546875" style="381" bestFit="1" customWidth="1"/>
    <col min="12967" max="13056" width="9.109375" style="381"/>
    <col min="13057" max="13057" width="3.5546875" style="381" customWidth="1"/>
    <col min="13058" max="13058" width="9.109375" style="381"/>
    <col min="13059" max="13059" width="13.44140625" style="381" customWidth="1"/>
    <col min="13060" max="13060" width="12.44140625" style="381" customWidth="1"/>
    <col min="13061" max="13061" width="14" style="381" customWidth="1"/>
    <col min="13062" max="13062" width="13.109375" style="381" customWidth="1"/>
    <col min="13063" max="13063" width="13.5546875" style="381" customWidth="1"/>
    <col min="13064" max="13064" width="13.109375" style="381" customWidth="1"/>
    <col min="13065" max="13065" width="13.33203125" style="381" customWidth="1"/>
    <col min="13066" max="13066" width="12.44140625" style="381" customWidth="1"/>
    <col min="13067" max="13067" width="12.88671875" style="381" customWidth="1"/>
    <col min="13068" max="13068" width="12.5546875" style="381" customWidth="1"/>
    <col min="13069" max="13070" width="13.33203125" style="381" customWidth="1"/>
    <col min="13071" max="13071" width="10" style="381" bestFit="1" customWidth="1"/>
    <col min="13072" max="13078" width="9.109375" style="381"/>
    <col min="13079" max="13079" width="9.5546875" style="381" bestFit="1" customWidth="1"/>
    <col min="13080" max="13162" width="9.109375" style="381"/>
    <col min="13163" max="13163" width="9.5546875" style="381" bestFit="1" customWidth="1"/>
    <col min="13164" max="13173" width="9.6640625" style="381" customWidth="1"/>
    <col min="13174" max="13174" width="11.109375" style="381" customWidth="1"/>
    <col min="13175" max="13175" width="9.5546875" style="381" bestFit="1" customWidth="1"/>
    <col min="13176" max="13176" width="11" style="381" customWidth="1"/>
    <col min="13177" max="13200" width="9.5546875" style="381" bestFit="1" customWidth="1"/>
    <col min="13201" max="13206" width="9.6640625" style="381" customWidth="1"/>
    <col min="13207" max="13207" width="10.88671875" style="381" customWidth="1"/>
    <col min="13208" max="13208" width="11" style="381" customWidth="1"/>
    <col min="13209" max="13222" width="9.5546875" style="381" bestFit="1" customWidth="1"/>
    <col min="13223" max="13312" width="9.109375" style="381"/>
    <col min="13313" max="13313" width="3.5546875" style="381" customWidth="1"/>
    <col min="13314" max="13314" width="9.109375" style="381"/>
    <col min="13315" max="13315" width="13.44140625" style="381" customWidth="1"/>
    <col min="13316" max="13316" width="12.44140625" style="381" customWidth="1"/>
    <col min="13317" max="13317" width="14" style="381" customWidth="1"/>
    <col min="13318" max="13318" width="13.109375" style="381" customWidth="1"/>
    <col min="13319" max="13319" width="13.5546875" style="381" customWidth="1"/>
    <col min="13320" max="13320" width="13.109375" style="381" customWidth="1"/>
    <col min="13321" max="13321" width="13.33203125" style="381" customWidth="1"/>
    <col min="13322" max="13322" width="12.44140625" style="381" customWidth="1"/>
    <col min="13323" max="13323" width="12.88671875" style="381" customWidth="1"/>
    <col min="13324" max="13324" width="12.5546875" style="381" customWidth="1"/>
    <col min="13325" max="13326" width="13.33203125" style="381" customWidth="1"/>
    <col min="13327" max="13327" width="10" style="381" bestFit="1" customWidth="1"/>
    <col min="13328" max="13334" width="9.109375" style="381"/>
    <col min="13335" max="13335" width="9.5546875" style="381" bestFit="1" customWidth="1"/>
    <col min="13336" max="13418" width="9.109375" style="381"/>
    <col min="13419" max="13419" width="9.5546875" style="381" bestFit="1" customWidth="1"/>
    <col min="13420" max="13429" width="9.6640625" style="381" customWidth="1"/>
    <col min="13430" max="13430" width="11.109375" style="381" customWidth="1"/>
    <col min="13431" max="13431" width="9.5546875" style="381" bestFit="1" customWidth="1"/>
    <col min="13432" max="13432" width="11" style="381" customWidth="1"/>
    <col min="13433" max="13456" width="9.5546875" style="381" bestFit="1" customWidth="1"/>
    <col min="13457" max="13462" width="9.6640625" style="381" customWidth="1"/>
    <col min="13463" max="13463" width="10.88671875" style="381" customWidth="1"/>
    <col min="13464" max="13464" width="11" style="381" customWidth="1"/>
    <col min="13465" max="13478" width="9.5546875" style="381" bestFit="1" customWidth="1"/>
    <col min="13479" max="13568" width="9.109375" style="381"/>
    <col min="13569" max="13569" width="3.5546875" style="381" customWidth="1"/>
    <col min="13570" max="13570" width="9.109375" style="381"/>
    <col min="13571" max="13571" width="13.44140625" style="381" customWidth="1"/>
    <col min="13572" max="13572" width="12.44140625" style="381" customWidth="1"/>
    <col min="13573" max="13573" width="14" style="381" customWidth="1"/>
    <col min="13574" max="13574" width="13.109375" style="381" customWidth="1"/>
    <col min="13575" max="13575" width="13.5546875" style="381" customWidth="1"/>
    <col min="13576" max="13576" width="13.109375" style="381" customWidth="1"/>
    <col min="13577" max="13577" width="13.33203125" style="381" customWidth="1"/>
    <col min="13578" max="13578" width="12.44140625" style="381" customWidth="1"/>
    <col min="13579" max="13579" width="12.88671875" style="381" customWidth="1"/>
    <col min="13580" max="13580" width="12.5546875" style="381" customWidth="1"/>
    <col min="13581" max="13582" width="13.33203125" style="381" customWidth="1"/>
    <col min="13583" max="13583" width="10" style="381" bestFit="1" customWidth="1"/>
    <col min="13584" max="13590" width="9.109375" style="381"/>
    <col min="13591" max="13591" width="9.5546875" style="381" bestFit="1" customWidth="1"/>
    <col min="13592" max="13674" width="9.109375" style="381"/>
    <col min="13675" max="13675" width="9.5546875" style="381" bestFit="1" customWidth="1"/>
    <col min="13676" max="13685" width="9.6640625" style="381" customWidth="1"/>
    <col min="13686" max="13686" width="11.109375" style="381" customWidth="1"/>
    <col min="13687" max="13687" width="9.5546875" style="381" bestFit="1" customWidth="1"/>
    <col min="13688" max="13688" width="11" style="381" customWidth="1"/>
    <col min="13689" max="13712" width="9.5546875" style="381" bestFit="1" customWidth="1"/>
    <col min="13713" max="13718" width="9.6640625" style="381" customWidth="1"/>
    <col min="13719" max="13719" width="10.88671875" style="381" customWidth="1"/>
    <col min="13720" max="13720" width="11" style="381" customWidth="1"/>
    <col min="13721" max="13734" width="9.5546875" style="381" bestFit="1" customWidth="1"/>
    <col min="13735" max="13824" width="9.109375" style="381"/>
    <col min="13825" max="13825" width="3.5546875" style="381" customWidth="1"/>
    <col min="13826" max="13826" width="9.109375" style="381"/>
    <col min="13827" max="13827" width="13.44140625" style="381" customWidth="1"/>
    <col min="13828" max="13828" width="12.44140625" style="381" customWidth="1"/>
    <col min="13829" max="13829" width="14" style="381" customWidth="1"/>
    <col min="13830" max="13830" width="13.109375" style="381" customWidth="1"/>
    <col min="13831" max="13831" width="13.5546875" style="381" customWidth="1"/>
    <col min="13832" max="13832" width="13.109375" style="381" customWidth="1"/>
    <col min="13833" max="13833" width="13.33203125" style="381" customWidth="1"/>
    <col min="13834" max="13834" width="12.44140625" style="381" customWidth="1"/>
    <col min="13835" max="13835" width="12.88671875" style="381" customWidth="1"/>
    <col min="13836" max="13836" width="12.5546875" style="381" customWidth="1"/>
    <col min="13837" max="13838" width="13.33203125" style="381" customWidth="1"/>
    <col min="13839" max="13839" width="10" style="381" bestFit="1" customWidth="1"/>
    <col min="13840" max="13846" width="9.109375" style="381"/>
    <col min="13847" max="13847" width="9.5546875" style="381" bestFit="1" customWidth="1"/>
    <col min="13848" max="13930" width="9.109375" style="381"/>
    <col min="13931" max="13931" width="9.5546875" style="381" bestFit="1" customWidth="1"/>
    <col min="13932" max="13941" width="9.6640625" style="381" customWidth="1"/>
    <col min="13942" max="13942" width="11.109375" style="381" customWidth="1"/>
    <col min="13943" max="13943" width="9.5546875" style="381" bestFit="1" customWidth="1"/>
    <col min="13944" max="13944" width="11" style="381" customWidth="1"/>
    <col min="13945" max="13968" width="9.5546875" style="381" bestFit="1" customWidth="1"/>
    <col min="13969" max="13974" width="9.6640625" style="381" customWidth="1"/>
    <col min="13975" max="13975" width="10.88671875" style="381" customWidth="1"/>
    <col min="13976" max="13976" width="11" style="381" customWidth="1"/>
    <col min="13977" max="13990" width="9.5546875" style="381" bestFit="1" customWidth="1"/>
    <col min="13991" max="14080" width="9.109375" style="381"/>
    <col min="14081" max="14081" width="3.5546875" style="381" customWidth="1"/>
    <col min="14082" max="14082" width="9.109375" style="381"/>
    <col min="14083" max="14083" width="13.44140625" style="381" customWidth="1"/>
    <col min="14084" max="14084" width="12.44140625" style="381" customWidth="1"/>
    <col min="14085" max="14085" width="14" style="381" customWidth="1"/>
    <col min="14086" max="14086" width="13.109375" style="381" customWidth="1"/>
    <col min="14087" max="14087" width="13.5546875" style="381" customWidth="1"/>
    <col min="14088" max="14088" width="13.109375" style="381" customWidth="1"/>
    <col min="14089" max="14089" width="13.33203125" style="381" customWidth="1"/>
    <col min="14090" max="14090" width="12.44140625" style="381" customWidth="1"/>
    <col min="14091" max="14091" width="12.88671875" style="381" customWidth="1"/>
    <col min="14092" max="14092" width="12.5546875" style="381" customWidth="1"/>
    <col min="14093" max="14094" width="13.33203125" style="381" customWidth="1"/>
    <col min="14095" max="14095" width="10" style="381" bestFit="1" customWidth="1"/>
    <col min="14096" max="14102" width="9.109375" style="381"/>
    <col min="14103" max="14103" width="9.5546875" style="381" bestFit="1" customWidth="1"/>
    <col min="14104" max="14186" width="9.109375" style="381"/>
    <col min="14187" max="14187" width="9.5546875" style="381" bestFit="1" customWidth="1"/>
    <col min="14188" max="14197" width="9.6640625" style="381" customWidth="1"/>
    <col min="14198" max="14198" width="11.109375" style="381" customWidth="1"/>
    <col min="14199" max="14199" width="9.5546875" style="381" bestFit="1" customWidth="1"/>
    <col min="14200" max="14200" width="11" style="381" customWidth="1"/>
    <col min="14201" max="14224" width="9.5546875" style="381" bestFit="1" customWidth="1"/>
    <col min="14225" max="14230" width="9.6640625" style="381" customWidth="1"/>
    <col min="14231" max="14231" width="10.88671875" style="381" customWidth="1"/>
    <col min="14232" max="14232" width="11" style="381" customWidth="1"/>
    <col min="14233" max="14246" width="9.5546875" style="381" bestFit="1" customWidth="1"/>
    <col min="14247" max="14336" width="9.109375" style="381"/>
    <col min="14337" max="14337" width="3.5546875" style="381" customWidth="1"/>
    <col min="14338" max="14338" width="9.109375" style="381"/>
    <col min="14339" max="14339" width="13.44140625" style="381" customWidth="1"/>
    <col min="14340" max="14340" width="12.44140625" style="381" customWidth="1"/>
    <col min="14341" max="14341" width="14" style="381" customWidth="1"/>
    <col min="14342" max="14342" width="13.109375" style="381" customWidth="1"/>
    <col min="14343" max="14343" width="13.5546875" style="381" customWidth="1"/>
    <col min="14344" max="14344" width="13.109375" style="381" customWidth="1"/>
    <col min="14345" max="14345" width="13.33203125" style="381" customWidth="1"/>
    <col min="14346" max="14346" width="12.44140625" style="381" customWidth="1"/>
    <col min="14347" max="14347" width="12.88671875" style="381" customWidth="1"/>
    <col min="14348" max="14348" width="12.5546875" style="381" customWidth="1"/>
    <col min="14349" max="14350" width="13.33203125" style="381" customWidth="1"/>
    <col min="14351" max="14351" width="10" style="381" bestFit="1" customWidth="1"/>
    <col min="14352" max="14358" width="9.109375" style="381"/>
    <col min="14359" max="14359" width="9.5546875" style="381" bestFit="1" customWidth="1"/>
    <col min="14360" max="14442" width="9.109375" style="381"/>
    <col min="14443" max="14443" width="9.5546875" style="381" bestFit="1" customWidth="1"/>
    <col min="14444" max="14453" width="9.6640625" style="381" customWidth="1"/>
    <col min="14454" max="14454" width="11.109375" style="381" customWidth="1"/>
    <col min="14455" max="14455" width="9.5546875" style="381" bestFit="1" customWidth="1"/>
    <col min="14456" max="14456" width="11" style="381" customWidth="1"/>
    <col min="14457" max="14480" width="9.5546875" style="381" bestFit="1" customWidth="1"/>
    <col min="14481" max="14486" width="9.6640625" style="381" customWidth="1"/>
    <col min="14487" max="14487" width="10.88671875" style="381" customWidth="1"/>
    <col min="14488" max="14488" width="11" style="381" customWidth="1"/>
    <col min="14489" max="14502" width="9.5546875" style="381" bestFit="1" customWidth="1"/>
    <col min="14503" max="14592" width="9.109375" style="381"/>
    <col min="14593" max="14593" width="3.5546875" style="381" customWidth="1"/>
    <col min="14594" max="14594" width="9.109375" style="381"/>
    <col min="14595" max="14595" width="13.44140625" style="381" customWidth="1"/>
    <col min="14596" max="14596" width="12.44140625" style="381" customWidth="1"/>
    <col min="14597" max="14597" width="14" style="381" customWidth="1"/>
    <col min="14598" max="14598" width="13.109375" style="381" customWidth="1"/>
    <col min="14599" max="14599" width="13.5546875" style="381" customWidth="1"/>
    <col min="14600" max="14600" width="13.109375" style="381" customWidth="1"/>
    <col min="14601" max="14601" width="13.33203125" style="381" customWidth="1"/>
    <col min="14602" max="14602" width="12.44140625" style="381" customWidth="1"/>
    <col min="14603" max="14603" width="12.88671875" style="381" customWidth="1"/>
    <col min="14604" max="14604" width="12.5546875" style="381" customWidth="1"/>
    <col min="14605" max="14606" width="13.33203125" style="381" customWidth="1"/>
    <col min="14607" max="14607" width="10" style="381" bestFit="1" customWidth="1"/>
    <col min="14608" max="14614" width="9.109375" style="381"/>
    <col min="14615" max="14615" width="9.5546875" style="381" bestFit="1" customWidth="1"/>
    <col min="14616" max="14698" width="9.109375" style="381"/>
    <col min="14699" max="14699" width="9.5546875" style="381" bestFit="1" customWidth="1"/>
    <col min="14700" max="14709" width="9.6640625" style="381" customWidth="1"/>
    <col min="14710" max="14710" width="11.109375" style="381" customWidth="1"/>
    <col min="14711" max="14711" width="9.5546875" style="381" bestFit="1" customWidth="1"/>
    <col min="14712" max="14712" width="11" style="381" customWidth="1"/>
    <col min="14713" max="14736" width="9.5546875" style="381" bestFit="1" customWidth="1"/>
    <col min="14737" max="14742" width="9.6640625" style="381" customWidth="1"/>
    <col min="14743" max="14743" width="10.88671875" style="381" customWidth="1"/>
    <col min="14744" max="14744" width="11" style="381" customWidth="1"/>
    <col min="14745" max="14758" width="9.5546875" style="381" bestFit="1" customWidth="1"/>
    <col min="14759" max="14848" width="9.109375" style="381"/>
    <col min="14849" max="14849" width="3.5546875" style="381" customWidth="1"/>
    <col min="14850" max="14850" width="9.109375" style="381"/>
    <col min="14851" max="14851" width="13.44140625" style="381" customWidth="1"/>
    <col min="14852" max="14852" width="12.44140625" style="381" customWidth="1"/>
    <col min="14853" max="14853" width="14" style="381" customWidth="1"/>
    <col min="14854" max="14854" width="13.109375" style="381" customWidth="1"/>
    <col min="14855" max="14855" width="13.5546875" style="381" customWidth="1"/>
    <col min="14856" max="14856" width="13.109375" style="381" customWidth="1"/>
    <col min="14857" max="14857" width="13.33203125" style="381" customWidth="1"/>
    <col min="14858" max="14858" width="12.44140625" style="381" customWidth="1"/>
    <col min="14859" max="14859" width="12.88671875" style="381" customWidth="1"/>
    <col min="14860" max="14860" width="12.5546875" style="381" customWidth="1"/>
    <col min="14861" max="14862" width="13.33203125" style="381" customWidth="1"/>
    <col min="14863" max="14863" width="10" style="381" bestFit="1" customWidth="1"/>
    <col min="14864" max="14870" width="9.109375" style="381"/>
    <col min="14871" max="14871" width="9.5546875" style="381" bestFit="1" customWidth="1"/>
    <col min="14872" max="14954" width="9.109375" style="381"/>
    <col min="14955" max="14955" width="9.5546875" style="381" bestFit="1" customWidth="1"/>
    <col min="14956" max="14965" width="9.6640625" style="381" customWidth="1"/>
    <col min="14966" max="14966" width="11.109375" style="381" customWidth="1"/>
    <col min="14967" max="14967" width="9.5546875" style="381" bestFit="1" customWidth="1"/>
    <col min="14968" max="14968" width="11" style="381" customWidth="1"/>
    <col min="14969" max="14992" width="9.5546875" style="381" bestFit="1" customWidth="1"/>
    <col min="14993" max="14998" width="9.6640625" style="381" customWidth="1"/>
    <col min="14999" max="14999" width="10.88671875" style="381" customWidth="1"/>
    <col min="15000" max="15000" width="11" style="381" customWidth="1"/>
    <col min="15001" max="15014" width="9.5546875" style="381" bestFit="1" customWidth="1"/>
    <col min="15015" max="15104" width="9.109375" style="381"/>
    <col min="15105" max="15105" width="3.5546875" style="381" customWidth="1"/>
    <col min="15106" max="15106" width="9.109375" style="381"/>
    <col min="15107" max="15107" width="13.44140625" style="381" customWidth="1"/>
    <col min="15108" max="15108" width="12.44140625" style="381" customWidth="1"/>
    <col min="15109" max="15109" width="14" style="381" customWidth="1"/>
    <col min="15110" max="15110" width="13.109375" style="381" customWidth="1"/>
    <col min="15111" max="15111" width="13.5546875" style="381" customWidth="1"/>
    <col min="15112" max="15112" width="13.109375" style="381" customWidth="1"/>
    <col min="15113" max="15113" width="13.33203125" style="381" customWidth="1"/>
    <col min="15114" max="15114" width="12.44140625" style="381" customWidth="1"/>
    <col min="15115" max="15115" width="12.88671875" style="381" customWidth="1"/>
    <col min="15116" max="15116" width="12.5546875" style="381" customWidth="1"/>
    <col min="15117" max="15118" width="13.33203125" style="381" customWidth="1"/>
    <col min="15119" max="15119" width="10" style="381" bestFit="1" customWidth="1"/>
    <col min="15120" max="15126" width="9.109375" style="381"/>
    <col min="15127" max="15127" width="9.5546875" style="381" bestFit="1" customWidth="1"/>
    <col min="15128" max="15210" width="9.109375" style="381"/>
    <col min="15211" max="15211" width="9.5546875" style="381" bestFit="1" customWidth="1"/>
    <col min="15212" max="15221" width="9.6640625" style="381" customWidth="1"/>
    <col min="15222" max="15222" width="11.109375" style="381" customWidth="1"/>
    <col min="15223" max="15223" width="9.5546875" style="381" bestFit="1" customWidth="1"/>
    <col min="15224" max="15224" width="11" style="381" customWidth="1"/>
    <col min="15225" max="15248" width="9.5546875" style="381" bestFit="1" customWidth="1"/>
    <col min="15249" max="15254" width="9.6640625" style="381" customWidth="1"/>
    <col min="15255" max="15255" width="10.88671875" style="381" customWidth="1"/>
    <col min="15256" max="15256" width="11" style="381" customWidth="1"/>
    <col min="15257" max="15270" width="9.5546875" style="381" bestFit="1" customWidth="1"/>
    <col min="15271" max="15360" width="9.109375" style="381"/>
    <col min="15361" max="15361" width="3.5546875" style="381" customWidth="1"/>
    <col min="15362" max="15362" width="9.109375" style="381"/>
    <col min="15363" max="15363" width="13.44140625" style="381" customWidth="1"/>
    <col min="15364" max="15364" width="12.44140625" style="381" customWidth="1"/>
    <col min="15365" max="15365" width="14" style="381" customWidth="1"/>
    <col min="15366" max="15366" width="13.109375" style="381" customWidth="1"/>
    <col min="15367" max="15367" width="13.5546875" style="381" customWidth="1"/>
    <col min="15368" max="15368" width="13.109375" style="381" customWidth="1"/>
    <col min="15369" max="15369" width="13.33203125" style="381" customWidth="1"/>
    <col min="15370" max="15370" width="12.44140625" style="381" customWidth="1"/>
    <col min="15371" max="15371" width="12.88671875" style="381" customWidth="1"/>
    <col min="15372" max="15372" width="12.5546875" style="381" customWidth="1"/>
    <col min="15373" max="15374" width="13.33203125" style="381" customWidth="1"/>
    <col min="15375" max="15375" width="10" style="381" bestFit="1" customWidth="1"/>
    <col min="15376" max="15382" width="9.109375" style="381"/>
    <col min="15383" max="15383" width="9.5546875" style="381" bestFit="1" customWidth="1"/>
    <col min="15384" max="15466" width="9.109375" style="381"/>
    <col min="15467" max="15467" width="9.5546875" style="381" bestFit="1" customWidth="1"/>
    <col min="15468" max="15477" width="9.6640625" style="381" customWidth="1"/>
    <col min="15478" max="15478" width="11.109375" style="381" customWidth="1"/>
    <col min="15479" max="15479" width="9.5546875" style="381" bestFit="1" customWidth="1"/>
    <col min="15480" max="15480" width="11" style="381" customWidth="1"/>
    <col min="15481" max="15504" width="9.5546875" style="381" bestFit="1" customWidth="1"/>
    <col min="15505" max="15510" width="9.6640625" style="381" customWidth="1"/>
    <col min="15511" max="15511" width="10.88671875" style="381" customWidth="1"/>
    <col min="15512" max="15512" width="11" style="381" customWidth="1"/>
    <col min="15513" max="15526" width="9.5546875" style="381" bestFit="1" customWidth="1"/>
    <col min="15527" max="15616" width="9.109375" style="381"/>
    <col min="15617" max="15617" width="3.5546875" style="381" customWidth="1"/>
    <col min="15618" max="15618" width="9.109375" style="381"/>
    <col min="15619" max="15619" width="13.44140625" style="381" customWidth="1"/>
    <col min="15620" max="15620" width="12.44140625" style="381" customWidth="1"/>
    <col min="15621" max="15621" width="14" style="381" customWidth="1"/>
    <col min="15622" max="15622" width="13.109375" style="381" customWidth="1"/>
    <col min="15623" max="15623" width="13.5546875" style="381" customWidth="1"/>
    <col min="15624" max="15624" width="13.109375" style="381" customWidth="1"/>
    <col min="15625" max="15625" width="13.33203125" style="381" customWidth="1"/>
    <col min="15626" max="15626" width="12.44140625" style="381" customWidth="1"/>
    <col min="15627" max="15627" width="12.88671875" style="381" customWidth="1"/>
    <col min="15628" max="15628" width="12.5546875" style="381" customWidth="1"/>
    <col min="15629" max="15630" width="13.33203125" style="381" customWidth="1"/>
    <col min="15631" max="15631" width="10" style="381" bestFit="1" customWidth="1"/>
    <col min="15632" max="15638" width="9.109375" style="381"/>
    <col min="15639" max="15639" width="9.5546875" style="381" bestFit="1" customWidth="1"/>
    <col min="15640" max="15722" width="9.109375" style="381"/>
    <col min="15723" max="15723" width="9.5546875" style="381" bestFit="1" customWidth="1"/>
    <col min="15724" max="15733" width="9.6640625" style="381" customWidth="1"/>
    <col min="15734" max="15734" width="11.109375" style="381" customWidth="1"/>
    <col min="15735" max="15735" width="9.5546875" style="381" bestFit="1" customWidth="1"/>
    <col min="15736" max="15736" width="11" style="381" customWidth="1"/>
    <col min="15737" max="15760" width="9.5546875" style="381" bestFit="1" customWidth="1"/>
    <col min="15761" max="15766" width="9.6640625" style="381" customWidth="1"/>
    <col min="15767" max="15767" width="10.88671875" style="381" customWidth="1"/>
    <col min="15768" max="15768" width="11" style="381" customWidth="1"/>
    <col min="15769" max="15782" width="9.5546875" style="381" bestFit="1" customWidth="1"/>
    <col min="15783" max="15872" width="9.109375" style="381"/>
    <col min="15873" max="15873" width="3.5546875" style="381" customWidth="1"/>
    <col min="15874" max="15874" width="9.109375" style="381"/>
    <col min="15875" max="15875" width="13.44140625" style="381" customWidth="1"/>
    <col min="15876" max="15876" width="12.44140625" style="381" customWidth="1"/>
    <col min="15877" max="15877" width="14" style="381" customWidth="1"/>
    <col min="15878" max="15878" width="13.109375" style="381" customWidth="1"/>
    <col min="15879" max="15879" width="13.5546875" style="381" customWidth="1"/>
    <col min="15880" max="15880" width="13.109375" style="381" customWidth="1"/>
    <col min="15881" max="15881" width="13.33203125" style="381" customWidth="1"/>
    <col min="15882" max="15882" width="12.44140625" style="381" customWidth="1"/>
    <col min="15883" max="15883" width="12.88671875" style="381" customWidth="1"/>
    <col min="15884" max="15884" width="12.5546875" style="381" customWidth="1"/>
    <col min="15885" max="15886" width="13.33203125" style="381" customWidth="1"/>
    <col min="15887" max="15887" width="10" style="381" bestFit="1" customWidth="1"/>
    <col min="15888" max="15894" width="9.109375" style="381"/>
    <col min="15895" max="15895" width="9.5546875" style="381" bestFit="1" customWidth="1"/>
    <col min="15896" max="15978" width="9.109375" style="381"/>
    <col min="15979" max="15979" width="9.5546875" style="381" bestFit="1" customWidth="1"/>
    <col min="15980" max="15989" width="9.6640625" style="381" customWidth="1"/>
    <col min="15990" max="15990" width="11.109375" style="381" customWidth="1"/>
    <col min="15991" max="15991" width="9.5546875" style="381" bestFit="1" customWidth="1"/>
    <col min="15992" max="15992" width="11" style="381" customWidth="1"/>
    <col min="15993" max="16016" width="9.5546875" style="381" bestFit="1" customWidth="1"/>
    <col min="16017" max="16022" width="9.6640625" style="381" customWidth="1"/>
    <col min="16023" max="16023" width="10.88671875" style="381" customWidth="1"/>
    <col min="16024" max="16024" width="11" style="381" customWidth="1"/>
    <col min="16025" max="16038" width="9.5546875" style="381" bestFit="1" customWidth="1"/>
    <col min="16039" max="16128" width="9.109375" style="381"/>
    <col min="16129" max="16129" width="3.5546875" style="381" customWidth="1"/>
    <col min="16130" max="16130" width="9.109375" style="381"/>
    <col min="16131" max="16131" width="13.44140625" style="381" customWidth="1"/>
    <col min="16132" max="16132" width="12.44140625" style="381" customWidth="1"/>
    <col min="16133" max="16133" width="14" style="381" customWidth="1"/>
    <col min="16134" max="16134" width="13.109375" style="381" customWidth="1"/>
    <col min="16135" max="16135" width="13.5546875" style="381" customWidth="1"/>
    <col min="16136" max="16136" width="13.109375" style="381" customWidth="1"/>
    <col min="16137" max="16137" width="13.33203125" style="381" customWidth="1"/>
    <col min="16138" max="16138" width="12.44140625" style="381" customWidth="1"/>
    <col min="16139" max="16139" width="12.88671875" style="381" customWidth="1"/>
    <col min="16140" max="16140" width="12.5546875" style="381" customWidth="1"/>
    <col min="16141" max="16142" width="13.33203125" style="381" customWidth="1"/>
    <col min="16143" max="16143" width="10" style="381" bestFit="1" customWidth="1"/>
    <col min="16144" max="16150" width="9.109375" style="381"/>
    <col min="16151" max="16151" width="9.5546875" style="381" bestFit="1" customWidth="1"/>
    <col min="16152" max="16234" width="9.109375" style="381"/>
    <col min="16235" max="16235" width="9.5546875" style="381" bestFit="1" customWidth="1"/>
    <col min="16236" max="16245" width="9.6640625" style="381" customWidth="1"/>
    <col min="16246" max="16246" width="11.109375" style="381" customWidth="1"/>
    <col min="16247" max="16247" width="9.5546875" style="381" bestFit="1" customWidth="1"/>
    <col min="16248" max="16248" width="11" style="381" customWidth="1"/>
    <col min="16249" max="16272" width="9.5546875" style="381" bestFit="1" customWidth="1"/>
    <col min="16273" max="16278" width="9.6640625" style="381" customWidth="1"/>
    <col min="16279" max="16279" width="10.88671875" style="381" customWidth="1"/>
    <col min="16280" max="16280" width="11" style="381" customWidth="1"/>
    <col min="16281" max="16294" width="9.5546875" style="381" bestFit="1" customWidth="1"/>
    <col min="16295" max="16384" width="9.109375" style="381"/>
  </cols>
  <sheetData>
    <row r="2" spans="2:166" ht="18" x14ac:dyDescent="0.35">
      <c r="B2" s="382" t="s">
        <v>232</v>
      </c>
      <c r="D2" s="383"/>
    </row>
    <row r="4" spans="2:166" ht="14.4" x14ac:dyDescent="0.3">
      <c r="B4" s="384" t="s">
        <v>233</v>
      </c>
      <c r="C4" s="385" t="s">
        <v>234</v>
      </c>
      <c r="D4" s="385" t="s">
        <v>235</v>
      </c>
      <c r="E4" s="385" t="s">
        <v>236</v>
      </c>
      <c r="F4" s="385" t="s">
        <v>237</v>
      </c>
      <c r="G4" s="385" t="s">
        <v>238</v>
      </c>
      <c r="H4" s="385" t="s">
        <v>239</v>
      </c>
      <c r="I4" s="385" t="s">
        <v>240</v>
      </c>
      <c r="J4" s="385" t="s">
        <v>241</v>
      </c>
      <c r="K4" s="385" t="s">
        <v>242</v>
      </c>
      <c r="L4" s="385" t="s">
        <v>243</v>
      </c>
      <c r="M4" s="385" t="s">
        <v>244</v>
      </c>
      <c r="N4" s="385" t="s">
        <v>245</v>
      </c>
      <c r="O4" s="385" t="s">
        <v>246</v>
      </c>
      <c r="W4" s="386" t="s">
        <v>247</v>
      </c>
      <c r="X4" s="386" t="s">
        <v>248</v>
      </c>
      <c r="Y4" s="386" t="s">
        <v>249</v>
      </c>
      <c r="Z4" s="386" t="s">
        <v>250</v>
      </c>
      <c r="AA4" s="386" t="s">
        <v>251</v>
      </c>
      <c r="AB4" s="386" t="s">
        <v>252</v>
      </c>
      <c r="AC4" s="386" t="s">
        <v>253</v>
      </c>
      <c r="AD4" s="386" t="s">
        <v>254</v>
      </c>
      <c r="AE4" s="386" t="s">
        <v>255</v>
      </c>
      <c r="AF4" s="386" t="s">
        <v>256</v>
      </c>
      <c r="AG4" s="386" t="s">
        <v>257</v>
      </c>
      <c r="AH4" s="386" t="s">
        <v>258</v>
      </c>
      <c r="AI4" s="386" t="s">
        <v>259</v>
      </c>
      <c r="AJ4" s="386" t="s">
        <v>260</v>
      </c>
      <c r="AK4" s="386" t="s">
        <v>261</v>
      </c>
      <c r="AL4" s="386" t="s">
        <v>262</v>
      </c>
      <c r="AM4" s="386" t="s">
        <v>263</v>
      </c>
      <c r="AN4" s="386" t="s">
        <v>264</v>
      </c>
      <c r="AO4" s="386" t="s">
        <v>265</v>
      </c>
      <c r="AP4" s="386" t="s">
        <v>266</v>
      </c>
      <c r="AQ4" s="386" t="s">
        <v>267</v>
      </c>
      <c r="AR4" s="386" t="s">
        <v>268</v>
      </c>
      <c r="AS4" s="386" t="s">
        <v>269</v>
      </c>
      <c r="AT4" s="386" t="s">
        <v>270</v>
      </c>
      <c r="AU4" s="386" t="s">
        <v>271</v>
      </c>
      <c r="AV4" s="386" t="s">
        <v>272</v>
      </c>
      <c r="AW4" s="386" t="s">
        <v>273</v>
      </c>
      <c r="AX4" s="386" t="s">
        <v>274</v>
      </c>
      <c r="AY4" s="386" t="s">
        <v>275</v>
      </c>
      <c r="AZ4" s="386" t="s">
        <v>276</v>
      </c>
      <c r="BA4" s="386" t="s">
        <v>277</v>
      </c>
      <c r="BB4" s="386" t="s">
        <v>278</v>
      </c>
      <c r="BC4" s="386" t="s">
        <v>279</v>
      </c>
      <c r="BD4" s="386" t="s">
        <v>280</v>
      </c>
      <c r="BE4" s="386" t="s">
        <v>281</v>
      </c>
      <c r="BF4" s="386" t="s">
        <v>282</v>
      </c>
      <c r="BG4" s="386" t="s">
        <v>283</v>
      </c>
      <c r="BH4" s="386" t="s">
        <v>284</v>
      </c>
      <c r="BI4" s="386" t="s">
        <v>285</v>
      </c>
      <c r="BJ4" s="386" t="s">
        <v>286</v>
      </c>
      <c r="BK4" s="386" t="s">
        <v>287</v>
      </c>
      <c r="BL4" s="386" t="s">
        <v>288</v>
      </c>
      <c r="BM4" s="386" t="s">
        <v>289</v>
      </c>
      <c r="BN4" s="386" t="s">
        <v>290</v>
      </c>
      <c r="BO4" s="386" t="s">
        <v>291</v>
      </c>
      <c r="BP4" s="386" t="s">
        <v>292</v>
      </c>
      <c r="BQ4" s="386" t="s">
        <v>293</v>
      </c>
      <c r="BR4" s="386" t="s">
        <v>294</v>
      </c>
      <c r="BS4" s="386" t="s">
        <v>295</v>
      </c>
      <c r="BT4" s="386" t="s">
        <v>296</v>
      </c>
      <c r="BU4" s="386" t="s">
        <v>297</v>
      </c>
      <c r="BV4" s="386" t="s">
        <v>298</v>
      </c>
      <c r="BW4" s="386" t="s">
        <v>299</v>
      </c>
      <c r="BX4" s="386" t="s">
        <v>300</v>
      </c>
      <c r="BY4" s="386" t="s">
        <v>301</v>
      </c>
      <c r="BZ4" s="386" t="s">
        <v>302</v>
      </c>
      <c r="CA4" s="386" t="s">
        <v>303</v>
      </c>
      <c r="CB4" s="386" t="s">
        <v>304</v>
      </c>
      <c r="CC4" s="386" t="s">
        <v>305</v>
      </c>
      <c r="CD4" s="386" t="s">
        <v>306</v>
      </c>
      <c r="CE4" s="386" t="s">
        <v>307</v>
      </c>
      <c r="CF4" s="386" t="s">
        <v>308</v>
      </c>
      <c r="CG4" s="386" t="s">
        <v>309</v>
      </c>
      <c r="CH4" s="386" t="s">
        <v>310</v>
      </c>
      <c r="CI4" s="386" t="s">
        <v>311</v>
      </c>
      <c r="CJ4" s="386" t="s">
        <v>312</v>
      </c>
      <c r="CK4" s="386" t="s">
        <v>313</v>
      </c>
      <c r="CL4" s="386" t="s">
        <v>314</v>
      </c>
      <c r="CM4" s="386" t="s">
        <v>315</v>
      </c>
      <c r="CN4" s="386" t="s">
        <v>316</v>
      </c>
      <c r="CO4" s="386" t="s">
        <v>317</v>
      </c>
      <c r="CP4" s="386" t="s">
        <v>318</v>
      </c>
      <c r="CQ4" s="386" t="s">
        <v>319</v>
      </c>
      <c r="CR4" s="386" t="s">
        <v>320</v>
      </c>
      <c r="CS4" s="386" t="s">
        <v>321</v>
      </c>
      <c r="CT4" s="386" t="s">
        <v>322</v>
      </c>
      <c r="CU4" s="386" t="s">
        <v>323</v>
      </c>
      <c r="CV4" s="386" t="s">
        <v>324</v>
      </c>
      <c r="CW4" s="386" t="s">
        <v>325</v>
      </c>
      <c r="CX4" s="386" t="s">
        <v>326</v>
      </c>
      <c r="CY4" s="386" t="s">
        <v>327</v>
      </c>
      <c r="CZ4" s="386" t="s">
        <v>328</v>
      </c>
      <c r="DA4" s="386" t="s">
        <v>329</v>
      </c>
      <c r="DB4" s="386" t="s">
        <v>330</v>
      </c>
      <c r="DC4" s="386" t="s">
        <v>331</v>
      </c>
      <c r="DD4" s="386" t="s">
        <v>332</v>
      </c>
      <c r="DE4" s="386" t="s">
        <v>333</v>
      </c>
      <c r="DF4" s="386" t="s">
        <v>334</v>
      </c>
      <c r="DG4" s="386" t="s">
        <v>335</v>
      </c>
      <c r="DH4" s="386" t="s">
        <v>336</v>
      </c>
      <c r="DI4" s="386" t="s">
        <v>337</v>
      </c>
      <c r="DJ4" s="386" t="s">
        <v>338</v>
      </c>
      <c r="DK4" s="386" t="s">
        <v>339</v>
      </c>
      <c r="DL4" s="386" t="s">
        <v>340</v>
      </c>
      <c r="DM4" s="386" t="s">
        <v>341</v>
      </c>
      <c r="DN4" s="386" t="s">
        <v>342</v>
      </c>
      <c r="DO4" s="386" t="s">
        <v>343</v>
      </c>
      <c r="DP4" s="386" t="s">
        <v>344</v>
      </c>
      <c r="DQ4" s="386" t="s">
        <v>345</v>
      </c>
      <c r="DR4" s="386" t="s">
        <v>346</v>
      </c>
      <c r="DS4" s="386" t="s">
        <v>347</v>
      </c>
      <c r="DT4" s="386" t="s">
        <v>348</v>
      </c>
      <c r="DU4" s="386" t="s">
        <v>349</v>
      </c>
      <c r="DV4" s="386" t="s">
        <v>350</v>
      </c>
      <c r="DW4" s="386" t="s">
        <v>351</v>
      </c>
      <c r="DX4" s="386" t="s">
        <v>352</v>
      </c>
      <c r="DY4" s="386" t="s">
        <v>353</v>
      </c>
      <c r="DZ4" s="386" t="s">
        <v>354</v>
      </c>
      <c r="EA4" s="387">
        <v>42736</v>
      </c>
      <c r="EB4" s="387">
        <v>42767</v>
      </c>
      <c r="EC4" s="387">
        <v>42795</v>
      </c>
      <c r="ED4" s="387">
        <v>42826</v>
      </c>
      <c r="EE4" s="387">
        <v>42856</v>
      </c>
      <c r="EF4" s="387">
        <v>42887</v>
      </c>
      <c r="EG4" s="387">
        <v>42917</v>
      </c>
      <c r="EH4" s="387">
        <v>42948</v>
      </c>
      <c r="EI4" s="387">
        <v>42979</v>
      </c>
      <c r="EJ4" s="387">
        <v>43009</v>
      </c>
      <c r="EK4" s="387">
        <v>43040</v>
      </c>
      <c r="EL4" s="387">
        <v>43070</v>
      </c>
      <c r="EM4" s="387">
        <v>43101</v>
      </c>
      <c r="EN4" s="387">
        <v>43132</v>
      </c>
      <c r="EO4" s="387">
        <v>43160</v>
      </c>
      <c r="EP4" s="387">
        <v>43191</v>
      </c>
      <c r="EQ4" s="387">
        <v>43221</v>
      </c>
      <c r="ER4" s="387">
        <v>43252</v>
      </c>
      <c r="ES4" s="387">
        <v>43282</v>
      </c>
      <c r="ET4" s="387">
        <v>43313</v>
      </c>
      <c r="EU4" s="387">
        <v>43344</v>
      </c>
      <c r="EV4" s="387">
        <v>43374</v>
      </c>
      <c r="EW4" s="387">
        <v>43405</v>
      </c>
      <c r="EX4" s="387">
        <v>43435</v>
      </c>
      <c r="EY4" s="387">
        <v>43466</v>
      </c>
      <c r="EZ4" s="387">
        <v>43497</v>
      </c>
      <c r="FA4" s="387">
        <v>43525</v>
      </c>
      <c r="FB4" s="387">
        <v>43556</v>
      </c>
      <c r="FC4" s="387">
        <v>43586</v>
      </c>
      <c r="FD4" s="387">
        <v>43617</v>
      </c>
      <c r="FE4" s="387">
        <v>43647</v>
      </c>
      <c r="FF4" s="387">
        <v>43678</v>
      </c>
      <c r="FG4" s="387">
        <v>43709</v>
      </c>
      <c r="FH4" s="387">
        <v>43739</v>
      </c>
      <c r="FI4" s="387">
        <v>43770</v>
      </c>
      <c r="FJ4" s="387">
        <v>43800</v>
      </c>
    </row>
    <row r="5" spans="2:166" ht="14.4" x14ac:dyDescent="0.3">
      <c r="B5" s="384">
        <v>2008</v>
      </c>
      <c r="C5" s="388">
        <v>0.1346</v>
      </c>
      <c r="D5" s="388">
        <v>0.17730000000000001</v>
      </c>
      <c r="E5" s="388">
        <v>0.18229999999999999</v>
      </c>
      <c r="F5" s="388">
        <v>0.18160000000000001</v>
      </c>
      <c r="G5" s="388">
        <v>0.18709999999999999</v>
      </c>
      <c r="H5" s="388">
        <v>0.2414</v>
      </c>
      <c r="I5" s="388">
        <v>0.24940000000000001</v>
      </c>
      <c r="J5" s="388">
        <v>0.28460000000000002</v>
      </c>
      <c r="K5" s="388">
        <v>0.28062999999999999</v>
      </c>
      <c r="L5" s="388">
        <v>0.29099999999999998</v>
      </c>
      <c r="M5" s="389">
        <v>0.26779999999999998</v>
      </c>
      <c r="N5" s="389">
        <v>0.23519999999999999</v>
      </c>
      <c r="O5" s="389">
        <f t="shared" ref="O5:O17" si="0">AVERAGE(C5:N5)</f>
        <v>0.22607749999999996</v>
      </c>
      <c r="W5" s="390">
        <f>C5</f>
        <v>0.1346</v>
      </c>
      <c r="X5" s="390">
        <f t="shared" ref="X5:AH5" si="1">D5</f>
        <v>0.17730000000000001</v>
      </c>
      <c r="Y5" s="390">
        <f t="shared" si="1"/>
        <v>0.18229999999999999</v>
      </c>
      <c r="Z5" s="390">
        <f t="shared" si="1"/>
        <v>0.18160000000000001</v>
      </c>
      <c r="AA5" s="390">
        <f t="shared" si="1"/>
        <v>0.18709999999999999</v>
      </c>
      <c r="AB5" s="390">
        <f t="shared" si="1"/>
        <v>0.2414</v>
      </c>
      <c r="AC5" s="390">
        <f t="shared" si="1"/>
        <v>0.24940000000000001</v>
      </c>
      <c r="AD5" s="390">
        <f t="shared" si="1"/>
        <v>0.28460000000000002</v>
      </c>
      <c r="AE5" s="390">
        <f t="shared" si="1"/>
        <v>0.28062999999999999</v>
      </c>
      <c r="AF5" s="390">
        <f t="shared" si="1"/>
        <v>0.29099999999999998</v>
      </c>
      <c r="AG5" s="390">
        <f t="shared" si="1"/>
        <v>0.26779999999999998</v>
      </c>
      <c r="AH5" s="390">
        <f t="shared" si="1"/>
        <v>0.23519999999999999</v>
      </c>
      <c r="AI5" s="390">
        <f>C6</f>
        <v>0.23519999999999999</v>
      </c>
      <c r="AJ5" s="390">
        <f t="shared" ref="AJ5:AT5" si="2">D6</f>
        <v>0.1608</v>
      </c>
      <c r="AK5" s="390">
        <f t="shared" si="2"/>
        <v>0.1138</v>
      </c>
      <c r="AL5" s="390">
        <f t="shared" si="2"/>
        <v>9.0120000000000006E-2</v>
      </c>
      <c r="AM5" s="390">
        <f t="shared" si="2"/>
        <v>8.9099999999999999E-2</v>
      </c>
      <c r="AN5" s="390">
        <f t="shared" si="2"/>
        <v>8.6599999999999996E-2</v>
      </c>
      <c r="AO5" s="390">
        <f t="shared" si="2"/>
        <v>8.8156999999999999E-2</v>
      </c>
      <c r="AP5" s="390">
        <f t="shared" si="2"/>
        <v>8.8156999999999999E-2</v>
      </c>
      <c r="AQ5" s="390">
        <f t="shared" si="2"/>
        <v>0.12819900000000001</v>
      </c>
      <c r="AR5" s="390">
        <f t="shared" si="2"/>
        <v>0.14682300000000001</v>
      </c>
      <c r="AS5" s="390">
        <f t="shared" si="2"/>
        <v>0.13339200000000001</v>
      </c>
      <c r="AT5" s="390">
        <f t="shared" si="2"/>
        <v>0.13339200000000001</v>
      </c>
      <c r="AU5" s="390">
        <f>C7</f>
        <v>0.151146</v>
      </c>
      <c r="AV5" s="390">
        <f t="shared" ref="AV5:BF5" si="3">D7</f>
        <v>0.14732500000000001</v>
      </c>
      <c r="AW5" s="390">
        <f t="shared" si="3"/>
        <v>0.14923600000000001</v>
      </c>
      <c r="AX5" s="390">
        <f t="shared" si="3"/>
        <v>0.14553199999999999</v>
      </c>
      <c r="AY5" s="390">
        <f t="shared" si="3"/>
        <v>0.14790600000000001</v>
      </c>
      <c r="AZ5" s="390">
        <f t="shared" si="3"/>
        <v>0.15458</v>
      </c>
      <c r="BA5" s="390">
        <f t="shared" si="3"/>
        <v>0.15668000000000001</v>
      </c>
      <c r="BB5" s="390">
        <f t="shared" si="3"/>
        <v>0.14949999999999999</v>
      </c>
      <c r="BC5" s="390">
        <f t="shared" si="3"/>
        <v>0.14549999999999999</v>
      </c>
      <c r="BD5" s="390">
        <f t="shared" si="3"/>
        <v>0.14549999999999999</v>
      </c>
      <c r="BE5" s="390">
        <f t="shared" si="3"/>
        <v>0.14835300000000001</v>
      </c>
      <c r="BF5" s="390">
        <f t="shared" si="3"/>
        <v>0.16592000000000001</v>
      </c>
      <c r="BG5" s="390">
        <f>C8</f>
        <v>0.17061000000000001</v>
      </c>
      <c r="BH5" s="390">
        <f t="shared" ref="BH5:BR5" si="4">D8</f>
        <v>0.17788999999999999</v>
      </c>
      <c r="BI5" s="390">
        <f t="shared" si="4"/>
        <v>0.1913</v>
      </c>
      <c r="BJ5" s="390">
        <f t="shared" si="4"/>
        <v>0.20300000000000001</v>
      </c>
      <c r="BK5" s="390">
        <f t="shared" si="4"/>
        <v>0.22600000000000001</v>
      </c>
      <c r="BL5" s="390">
        <f t="shared" si="4"/>
        <v>0.24249999999999999</v>
      </c>
      <c r="BM5" s="390">
        <f t="shared" si="4"/>
        <v>0.2366</v>
      </c>
      <c r="BN5" s="390">
        <f t="shared" si="4"/>
        <v>0.24510000000000001</v>
      </c>
      <c r="BO5" s="390">
        <f t="shared" si="4"/>
        <v>0.24099999999999999</v>
      </c>
      <c r="BP5" s="390">
        <f t="shared" si="4"/>
        <v>0.22650000000000001</v>
      </c>
      <c r="BQ5" s="390">
        <f t="shared" si="4"/>
        <v>0.23119999999999999</v>
      </c>
      <c r="BR5" s="390">
        <f t="shared" si="4"/>
        <v>0.23219999999999999</v>
      </c>
      <c r="BS5" s="390">
        <f>C9</f>
        <v>0.24540000000000001</v>
      </c>
      <c r="BT5" s="390">
        <f t="shared" ref="BT5:CD5" si="5">D9</f>
        <v>0.24349999999999999</v>
      </c>
      <c r="BU5" s="390">
        <f t="shared" si="5"/>
        <v>0.24540000000000001</v>
      </c>
      <c r="BV5" s="390">
        <f t="shared" si="5"/>
        <v>0.25309999999999999</v>
      </c>
      <c r="BW5" s="390">
        <f t="shared" si="5"/>
        <v>0.25900000000000001</v>
      </c>
      <c r="BX5" s="390">
        <f t="shared" si="5"/>
        <v>0.26129999999999998</v>
      </c>
      <c r="BY5" s="390">
        <f t="shared" si="5"/>
        <v>0.25619999999999998</v>
      </c>
      <c r="BZ5" s="390">
        <f t="shared" si="5"/>
        <v>0.23530000000000001</v>
      </c>
      <c r="CA5" s="390">
        <f t="shared" si="5"/>
        <v>0.21160000000000001</v>
      </c>
      <c r="CB5" s="390">
        <f t="shared" si="5"/>
        <v>0.2296</v>
      </c>
      <c r="CC5" s="390">
        <f t="shared" si="5"/>
        <v>0.2447</v>
      </c>
      <c r="CD5" s="390">
        <f t="shared" si="5"/>
        <v>0.25230000000000002</v>
      </c>
      <c r="CE5" s="390">
        <f t="shared" ref="CE5:CP5" si="6">C10</f>
        <v>0.25259999999999999</v>
      </c>
      <c r="CF5" s="390">
        <f t="shared" si="6"/>
        <v>0.25119999999999998</v>
      </c>
      <c r="CG5" s="390">
        <f t="shared" si="6"/>
        <v>0.24909999999999999</v>
      </c>
      <c r="CH5" s="390">
        <f t="shared" si="6"/>
        <v>0.26200000000000001</v>
      </c>
      <c r="CI5" s="390">
        <f t="shared" si="6"/>
        <v>0.2485</v>
      </c>
      <c r="CJ5" s="390">
        <f t="shared" si="6"/>
        <v>0.2351</v>
      </c>
      <c r="CK5" s="390">
        <f t="shared" si="6"/>
        <v>0.22800000000000001</v>
      </c>
      <c r="CL5" s="390">
        <f t="shared" si="6"/>
        <v>0.21729999999999999</v>
      </c>
      <c r="CM5" s="390">
        <f t="shared" si="6"/>
        <v>0.2276</v>
      </c>
      <c r="CN5" s="390">
        <f t="shared" si="6"/>
        <v>0.22989999999999999</v>
      </c>
      <c r="CO5" s="390">
        <f t="shared" si="6"/>
        <v>0.23519999999999999</v>
      </c>
      <c r="CP5" s="390">
        <f t="shared" si="6"/>
        <v>0.24160000000000001</v>
      </c>
      <c r="CQ5" s="390">
        <f t="shared" ref="CQ5:DB5" si="7">C11</f>
        <v>0.23100000000000001</v>
      </c>
      <c r="CR5" s="390">
        <f t="shared" si="7"/>
        <v>0.24010000000000001</v>
      </c>
      <c r="CS5" s="390">
        <f t="shared" si="7"/>
        <v>0.2402</v>
      </c>
      <c r="CT5" s="390">
        <f t="shared" si="7"/>
        <v>0.23719999999999999</v>
      </c>
      <c r="CU5" s="390">
        <f t="shared" si="7"/>
        <v>0.24160000000000001</v>
      </c>
      <c r="CV5" s="390">
        <f t="shared" si="7"/>
        <v>0.23830000000000001</v>
      </c>
      <c r="CW5" s="390">
        <f t="shared" si="7"/>
        <v>0.2384</v>
      </c>
      <c r="CX5" s="390">
        <f t="shared" si="7"/>
        <v>0.24010000000000001</v>
      </c>
      <c r="CY5" s="390">
        <f t="shared" si="7"/>
        <v>0.2447</v>
      </c>
      <c r="CZ5" s="390">
        <f t="shared" si="7"/>
        <v>0.2366</v>
      </c>
      <c r="DA5" s="390">
        <f t="shared" si="7"/>
        <v>0.23050000000000001</v>
      </c>
      <c r="DB5" s="390">
        <f t="shared" si="7"/>
        <v>0.2203</v>
      </c>
      <c r="DC5" s="391">
        <f>C12</f>
        <v>0.20910000000000001</v>
      </c>
      <c r="DD5" s="391">
        <f>D12</f>
        <v>0.19800000000000001</v>
      </c>
      <c r="DE5" s="391">
        <f>E12</f>
        <v>0.15659999999999999</v>
      </c>
      <c r="DF5" s="391">
        <f>F12</f>
        <v>0.1396</v>
      </c>
      <c r="DG5" s="391">
        <f t="shared" ref="DG5:DN5" si="8">G12</f>
        <v>0.1298</v>
      </c>
      <c r="DH5" s="391">
        <f t="shared" si="8"/>
        <v>0.1321</v>
      </c>
      <c r="DI5" s="391">
        <f t="shared" si="8"/>
        <v>0.1389</v>
      </c>
      <c r="DJ5" s="391">
        <f t="shared" si="8"/>
        <v>0.14960000000000001</v>
      </c>
      <c r="DK5" s="391">
        <f t="shared" si="8"/>
        <v>0.14119999999999999</v>
      </c>
      <c r="DL5" s="391">
        <f t="shared" si="8"/>
        <v>0.13639999999999999</v>
      </c>
      <c r="DM5" s="391">
        <f t="shared" si="8"/>
        <v>0.13109999999999999</v>
      </c>
      <c r="DN5" s="391">
        <f t="shared" si="8"/>
        <v>0.11600000000000001</v>
      </c>
      <c r="DO5" s="391">
        <f>C13</f>
        <v>9.9900000000000003E-2</v>
      </c>
      <c r="DP5" s="391">
        <f>D13</f>
        <v>9.3899999999999997E-2</v>
      </c>
      <c r="DQ5" s="391">
        <f t="shared" ref="DQ5:DZ5" si="9">E13</f>
        <v>8.9700000000000002E-2</v>
      </c>
      <c r="DR5" s="391">
        <f t="shared" si="9"/>
        <v>7.8799999999999995E-2</v>
      </c>
      <c r="DS5" s="391">
        <f t="shared" si="9"/>
        <v>6.6100000000000006E-2</v>
      </c>
      <c r="DT5" s="391">
        <f t="shared" si="9"/>
        <v>6.4699999999999994E-2</v>
      </c>
      <c r="DU5" s="391">
        <f t="shared" si="9"/>
        <v>7.8399999999999997E-2</v>
      </c>
      <c r="DV5" s="391">
        <f t="shared" si="9"/>
        <v>8.9499999999999996E-2</v>
      </c>
      <c r="DW5" s="391">
        <f t="shared" si="9"/>
        <v>9.7299999999999998E-2</v>
      </c>
      <c r="DX5" s="391">
        <f t="shared" si="9"/>
        <v>8.7599999999999997E-2</v>
      </c>
      <c r="DY5" s="391">
        <f t="shared" si="9"/>
        <v>8.5699999999999998E-2</v>
      </c>
      <c r="DZ5" s="391">
        <f t="shared" si="9"/>
        <v>9.1300000000000006E-2</v>
      </c>
      <c r="EA5" s="391">
        <f>C14</f>
        <v>9.4399999999999998E-2</v>
      </c>
      <c r="EB5" s="391">
        <f t="shared" ref="EB5:EL5" si="10">D14</f>
        <v>0.10680000000000001</v>
      </c>
      <c r="EC5" s="391">
        <f t="shared" si="10"/>
        <v>0.1004</v>
      </c>
      <c r="ED5" s="391">
        <f t="shared" si="10"/>
        <v>0.1079</v>
      </c>
      <c r="EE5" s="391">
        <f t="shared" si="10"/>
        <v>0.1168</v>
      </c>
      <c r="EF5" s="391">
        <f t="shared" si="10"/>
        <v>0.12540000000000001</v>
      </c>
      <c r="EG5" s="391">
        <f t="shared" si="10"/>
        <v>0.1129</v>
      </c>
      <c r="EH5" s="391">
        <f t="shared" si="10"/>
        <v>0.10059999999999999</v>
      </c>
      <c r="EI5" s="391">
        <f t="shared" si="10"/>
        <v>9.4299999999999995E-2</v>
      </c>
      <c r="EJ5" s="391">
        <f t="shared" si="10"/>
        <v>0.1052</v>
      </c>
      <c r="EK5" s="391">
        <f t="shared" si="10"/>
        <v>0.10680000000000001</v>
      </c>
      <c r="EL5" s="391">
        <f t="shared" si="10"/>
        <v>0.11360000000000001</v>
      </c>
      <c r="EM5" s="391">
        <f>C15</f>
        <v>0.1148</v>
      </c>
      <c r="EN5" s="391">
        <f t="shared" ref="EN5:ET5" si="11">D15</f>
        <v>0.1275</v>
      </c>
      <c r="EO5" s="391">
        <f t="shared" si="11"/>
        <v>0.13980000000000001</v>
      </c>
      <c r="EP5" s="391">
        <f t="shared" si="11"/>
        <v>0.14119999999999999</v>
      </c>
      <c r="EQ5" s="391">
        <f t="shared" si="11"/>
        <v>0.14330000000000001</v>
      </c>
      <c r="ER5" s="391">
        <f t="shared" si="11"/>
        <v>0.15110000000000001</v>
      </c>
      <c r="ES5" s="391">
        <f t="shared" si="11"/>
        <v>0.1633</v>
      </c>
      <c r="ET5" s="391">
        <f t="shared" si="11"/>
        <v>0.16550000000000001</v>
      </c>
      <c r="EU5" s="391">
        <f>K15</f>
        <v>0.1613</v>
      </c>
      <c r="EV5" s="391">
        <f>L15</f>
        <v>0.15809999999999999</v>
      </c>
      <c r="EW5" s="391">
        <f>M15</f>
        <v>0.16039999999999999</v>
      </c>
      <c r="EX5" s="391">
        <f>N15</f>
        <v>0.16869999999999999</v>
      </c>
      <c r="EY5" s="391">
        <f t="shared" ref="EY5:FG5" si="12">C16</f>
        <v>0.17699999999999999</v>
      </c>
      <c r="EZ5" s="391">
        <f t="shared" si="12"/>
        <v>0.16520000000000001</v>
      </c>
      <c r="FA5" s="391">
        <f t="shared" si="12"/>
        <v>0.1515</v>
      </c>
      <c r="FB5" s="391">
        <f t="shared" si="12"/>
        <v>0.13300000000000001</v>
      </c>
      <c r="FC5" s="391">
        <f t="shared" si="12"/>
        <v>0.1366</v>
      </c>
      <c r="FD5" s="391">
        <f t="shared" si="12"/>
        <v>0.1467</v>
      </c>
      <c r="FE5" s="391">
        <f t="shared" si="12"/>
        <v>0.15060000000000001</v>
      </c>
      <c r="FF5" s="391">
        <f t="shared" si="12"/>
        <v>0.14929999999999999</v>
      </c>
      <c r="FG5" s="391">
        <f t="shared" si="12"/>
        <v>0.14760000000000001</v>
      </c>
      <c r="FH5" s="391">
        <f>L16</f>
        <v>0.13830000000000001</v>
      </c>
      <c r="FI5" s="391">
        <f>M16</f>
        <v>0.12870000000000001</v>
      </c>
      <c r="FJ5" s="391">
        <f>N16</f>
        <v>0.13669999999999999</v>
      </c>
    </row>
    <row r="6" spans="2:166" ht="18" customHeight="1" x14ac:dyDescent="0.3">
      <c r="B6" s="385">
        <v>2009</v>
      </c>
      <c r="C6" s="388">
        <v>0.23519999999999999</v>
      </c>
      <c r="D6" s="388">
        <v>0.1608</v>
      </c>
      <c r="E6" s="388">
        <v>0.1138</v>
      </c>
      <c r="F6" s="388">
        <v>9.0120000000000006E-2</v>
      </c>
      <c r="G6" s="388">
        <v>8.9099999999999999E-2</v>
      </c>
      <c r="H6" s="388">
        <v>8.6599999999999996E-2</v>
      </c>
      <c r="I6" s="388">
        <v>8.8156999999999999E-2</v>
      </c>
      <c r="J6" s="388">
        <v>8.8156999999999999E-2</v>
      </c>
      <c r="K6" s="388">
        <v>0.12819900000000001</v>
      </c>
      <c r="L6" s="388">
        <v>0.14682300000000001</v>
      </c>
      <c r="M6" s="389">
        <v>0.13339200000000001</v>
      </c>
      <c r="N6" s="389">
        <v>0.13339200000000001</v>
      </c>
      <c r="O6" s="389">
        <f t="shared" si="0"/>
        <v>0.12447833333333332</v>
      </c>
    </row>
    <row r="7" spans="2:166" ht="18" customHeight="1" x14ac:dyDescent="0.3">
      <c r="B7" s="385">
        <v>2010</v>
      </c>
      <c r="C7" s="388">
        <v>0.151146</v>
      </c>
      <c r="D7" s="388">
        <v>0.14732500000000001</v>
      </c>
      <c r="E7" s="388">
        <v>0.14923600000000001</v>
      </c>
      <c r="F7" s="388">
        <v>0.14553199999999999</v>
      </c>
      <c r="G7" s="388">
        <v>0.14790600000000001</v>
      </c>
      <c r="H7" s="388">
        <v>0.15458</v>
      </c>
      <c r="I7" s="388">
        <v>0.15668000000000001</v>
      </c>
      <c r="J7" s="388">
        <v>0.14949999999999999</v>
      </c>
      <c r="K7" s="388">
        <v>0.14549999999999999</v>
      </c>
      <c r="L7" s="388">
        <v>0.14549999999999999</v>
      </c>
      <c r="M7" s="388">
        <v>0.14835300000000001</v>
      </c>
      <c r="N7" s="388">
        <v>0.16592000000000001</v>
      </c>
      <c r="O7" s="388">
        <f t="shared" si="0"/>
        <v>0.15059816666666667</v>
      </c>
    </row>
    <row r="8" spans="2:166" ht="18" customHeight="1" x14ac:dyDescent="0.3">
      <c r="B8" s="385">
        <v>2011</v>
      </c>
      <c r="C8" s="388">
        <v>0.17061000000000001</v>
      </c>
      <c r="D8" s="388">
        <v>0.17788999999999999</v>
      </c>
      <c r="E8" s="388">
        <v>0.1913</v>
      </c>
      <c r="F8" s="388">
        <v>0.20300000000000001</v>
      </c>
      <c r="G8" s="388">
        <v>0.22600000000000001</v>
      </c>
      <c r="H8" s="388">
        <v>0.24249999999999999</v>
      </c>
      <c r="I8" s="388">
        <v>0.2366</v>
      </c>
      <c r="J8" s="388">
        <v>0.24510000000000001</v>
      </c>
      <c r="K8" s="388">
        <v>0.24099999999999999</v>
      </c>
      <c r="L8" s="388">
        <v>0.22650000000000001</v>
      </c>
      <c r="M8" s="388">
        <v>0.23119999999999999</v>
      </c>
      <c r="N8" s="388">
        <v>0.23219999999999999</v>
      </c>
      <c r="O8" s="388">
        <f t="shared" si="0"/>
        <v>0.21865833333333337</v>
      </c>
    </row>
    <row r="9" spans="2:166" ht="18" customHeight="1" x14ac:dyDescent="0.3">
      <c r="B9" s="385">
        <v>2012</v>
      </c>
      <c r="C9" s="388">
        <v>0.24540000000000001</v>
      </c>
      <c r="D9" s="388">
        <v>0.24349999999999999</v>
      </c>
      <c r="E9" s="388">
        <v>0.24540000000000001</v>
      </c>
      <c r="F9" s="388">
        <v>0.25309999999999999</v>
      </c>
      <c r="G9" s="388">
        <v>0.25900000000000001</v>
      </c>
      <c r="H9" s="388">
        <v>0.26129999999999998</v>
      </c>
      <c r="I9" s="388">
        <v>0.25619999999999998</v>
      </c>
      <c r="J9" s="388">
        <v>0.23530000000000001</v>
      </c>
      <c r="K9" s="388">
        <v>0.21160000000000001</v>
      </c>
      <c r="L9" s="388">
        <v>0.2296</v>
      </c>
      <c r="M9" s="388">
        <v>0.2447</v>
      </c>
      <c r="N9" s="388">
        <v>0.25230000000000002</v>
      </c>
      <c r="O9" s="388">
        <f t="shared" si="0"/>
        <v>0.24478333333333332</v>
      </c>
    </row>
    <row r="10" spans="2:166" ht="18" customHeight="1" x14ac:dyDescent="0.3">
      <c r="B10" s="385">
        <v>2013</v>
      </c>
      <c r="C10" s="388">
        <v>0.25259999999999999</v>
      </c>
      <c r="D10" s="388">
        <v>0.25119999999999998</v>
      </c>
      <c r="E10" s="388">
        <v>0.24909999999999999</v>
      </c>
      <c r="F10" s="388">
        <v>0.26200000000000001</v>
      </c>
      <c r="G10" s="388">
        <v>0.2485</v>
      </c>
      <c r="H10" s="388">
        <v>0.2351</v>
      </c>
      <c r="I10" s="388">
        <v>0.22800000000000001</v>
      </c>
      <c r="J10" s="388">
        <v>0.21729999999999999</v>
      </c>
      <c r="K10" s="388">
        <v>0.2276</v>
      </c>
      <c r="L10" s="388">
        <v>0.22989999999999999</v>
      </c>
      <c r="M10" s="388">
        <v>0.23519999999999999</v>
      </c>
      <c r="N10" s="388">
        <v>0.24160000000000001</v>
      </c>
      <c r="O10" s="388">
        <f t="shared" si="0"/>
        <v>0.23984166666666665</v>
      </c>
    </row>
    <row r="11" spans="2:166" ht="18" customHeight="1" x14ac:dyDescent="0.3">
      <c r="B11" s="385">
        <v>2014</v>
      </c>
      <c r="C11" s="388">
        <v>0.23100000000000001</v>
      </c>
      <c r="D11" s="388">
        <v>0.24010000000000001</v>
      </c>
      <c r="E11" s="388">
        <v>0.2402</v>
      </c>
      <c r="F11" s="388">
        <v>0.23719999999999999</v>
      </c>
      <c r="G11" s="388">
        <v>0.24160000000000001</v>
      </c>
      <c r="H11" s="388">
        <v>0.23830000000000001</v>
      </c>
      <c r="I11" s="388">
        <v>0.2384</v>
      </c>
      <c r="J11" s="388">
        <v>0.24010000000000001</v>
      </c>
      <c r="K11" s="388">
        <v>0.2447</v>
      </c>
      <c r="L11" s="388">
        <v>0.2366</v>
      </c>
      <c r="M11" s="388">
        <v>0.23050000000000001</v>
      </c>
      <c r="N11" s="388">
        <v>0.2203</v>
      </c>
      <c r="O11" s="388">
        <f t="shared" si="0"/>
        <v>0.23658333333333334</v>
      </c>
    </row>
    <row r="12" spans="2:166" ht="18" customHeight="1" x14ac:dyDescent="0.3">
      <c r="B12" s="385">
        <v>2015</v>
      </c>
      <c r="C12" s="388">
        <v>0.20910000000000001</v>
      </c>
      <c r="D12" s="388">
        <v>0.19800000000000001</v>
      </c>
      <c r="E12" s="388">
        <v>0.15659999999999999</v>
      </c>
      <c r="F12" s="388">
        <v>0.1396</v>
      </c>
      <c r="G12" s="388">
        <v>0.1298</v>
      </c>
      <c r="H12" s="388">
        <v>0.1321</v>
      </c>
      <c r="I12" s="388">
        <v>0.1389</v>
      </c>
      <c r="J12" s="388">
        <v>0.14960000000000001</v>
      </c>
      <c r="K12" s="388">
        <v>0.14119999999999999</v>
      </c>
      <c r="L12" s="388">
        <v>0.13639999999999999</v>
      </c>
      <c r="M12" s="388">
        <v>0.13109999999999999</v>
      </c>
      <c r="N12" s="388">
        <v>0.11600000000000001</v>
      </c>
      <c r="O12" s="388">
        <f t="shared" si="0"/>
        <v>0.14820000000000003</v>
      </c>
    </row>
    <row r="13" spans="2:166" ht="18" customHeight="1" x14ac:dyDescent="0.3">
      <c r="B13" s="385">
        <v>2016</v>
      </c>
      <c r="C13" s="388">
        <v>9.9900000000000003E-2</v>
      </c>
      <c r="D13" s="388">
        <v>9.3899999999999997E-2</v>
      </c>
      <c r="E13" s="388">
        <v>8.9700000000000002E-2</v>
      </c>
      <c r="F13" s="388">
        <v>7.8799999999999995E-2</v>
      </c>
      <c r="G13" s="388">
        <v>6.6100000000000006E-2</v>
      </c>
      <c r="H13" s="388">
        <v>6.4699999999999994E-2</v>
      </c>
      <c r="I13" s="388">
        <v>7.8399999999999997E-2</v>
      </c>
      <c r="J13" s="388">
        <v>8.9499999999999996E-2</v>
      </c>
      <c r="K13" s="388">
        <v>9.7299999999999998E-2</v>
      </c>
      <c r="L13" s="388">
        <v>8.7599999999999997E-2</v>
      </c>
      <c r="M13" s="388">
        <v>8.5699999999999998E-2</v>
      </c>
      <c r="N13" s="388">
        <v>9.1300000000000006E-2</v>
      </c>
      <c r="O13" s="388">
        <f t="shared" si="0"/>
        <v>8.524166666666666E-2</v>
      </c>
    </row>
    <row r="14" spans="2:166" ht="18" customHeight="1" x14ac:dyDescent="0.3">
      <c r="B14" s="385">
        <v>2017</v>
      </c>
      <c r="C14" s="388">
        <v>9.4399999999999998E-2</v>
      </c>
      <c r="D14" s="388">
        <v>0.10680000000000001</v>
      </c>
      <c r="E14" s="388">
        <v>0.1004</v>
      </c>
      <c r="F14" s="388">
        <v>0.1079</v>
      </c>
      <c r="G14" s="388">
        <v>0.1168</v>
      </c>
      <c r="H14" s="388">
        <v>0.12540000000000001</v>
      </c>
      <c r="I14" s="388">
        <v>0.1129</v>
      </c>
      <c r="J14" s="388">
        <v>0.10059999999999999</v>
      </c>
      <c r="K14" s="388">
        <v>9.4299999999999995E-2</v>
      </c>
      <c r="L14" s="388">
        <v>0.1052</v>
      </c>
      <c r="M14" s="388">
        <v>0.10680000000000001</v>
      </c>
      <c r="N14" s="388">
        <v>0.11360000000000001</v>
      </c>
      <c r="O14" s="388">
        <f t="shared" si="0"/>
        <v>0.10709166666666665</v>
      </c>
    </row>
    <row r="15" spans="2:166" ht="18" customHeight="1" x14ac:dyDescent="0.3">
      <c r="B15" s="385">
        <v>2018</v>
      </c>
      <c r="C15" s="388">
        <v>0.1148</v>
      </c>
      <c r="D15" s="388">
        <v>0.1275</v>
      </c>
      <c r="E15" s="388">
        <v>0.13980000000000001</v>
      </c>
      <c r="F15" s="388">
        <v>0.14119999999999999</v>
      </c>
      <c r="G15" s="388">
        <v>0.14330000000000001</v>
      </c>
      <c r="H15" s="388">
        <v>0.15110000000000001</v>
      </c>
      <c r="I15" s="388">
        <v>0.1633</v>
      </c>
      <c r="J15" s="388">
        <v>0.16550000000000001</v>
      </c>
      <c r="K15" s="388">
        <v>0.1613</v>
      </c>
      <c r="L15" s="388">
        <v>0.15809999999999999</v>
      </c>
      <c r="M15" s="388">
        <v>0.16039999999999999</v>
      </c>
      <c r="N15" s="388">
        <v>0.16869999999999999</v>
      </c>
      <c r="O15" s="388">
        <f t="shared" si="0"/>
        <v>0.14958333333333335</v>
      </c>
    </row>
    <row r="16" spans="2:166" ht="17.399999999999999" customHeight="1" x14ac:dyDescent="0.3">
      <c r="B16" s="385">
        <v>2019</v>
      </c>
      <c r="C16" s="388">
        <v>0.17699999999999999</v>
      </c>
      <c r="D16" s="388">
        <v>0.16520000000000001</v>
      </c>
      <c r="E16" s="388">
        <v>0.1515</v>
      </c>
      <c r="F16" s="388">
        <v>0.13300000000000001</v>
      </c>
      <c r="G16" s="388">
        <v>0.1366</v>
      </c>
      <c r="H16" s="388">
        <v>0.1467</v>
      </c>
      <c r="I16" s="388">
        <v>0.15060000000000001</v>
      </c>
      <c r="J16" s="388">
        <v>0.14929999999999999</v>
      </c>
      <c r="K16" s="388">
        <v>0.14760000000000001</v>
      </c>
      <c r="L16" s="388">
        <v>0.13830000000000001</v>
      </c>
      <c r="M16" s="388">
        <v>0.12870000000000001</v>
      </c>
      <c r="N16" s="388">
        <v>0.13669999999999999</v>
      </c>
      <c r="O16" s="388">
        <f t="shared" si="0"/>
        <v>0.14676666666666668</v>
      </c>
    </row>
    <row r="17" spans="2:16" ht="17.399999999999999" customHeight="1" x14ac:dyDescent="0.3">
      <c r="B17" s="385">
        <v>2020</v>
      </c>
      <c r="C17" s="388">
        <v>0.1381</v>
      </c>
      <c r="D17" s="388">
        <v>0.13159999999999999</v>
      </c>
      <c r="E17" s="388">
        <v>0.13719999999999999</v>
      </c>
      <c r="F17" s="388">
        <v>0.1333</v>
      </c>
      <c r="G17" s="388">
        <v>0.1167</v>
      </c>
      <c r="H17" s="388">
        <v>0.10349999999999999</v>
      </c>
      <c r="I17" s="388">
        <v>8.8300000000000003E-2</v>
      </c>
      <c r="J17" s="388">
        <v>4.0899999999999999E-2</v>
      </c>
      <c r="K17" s="388">
        <v>4.5100000000000001E-2</v>
      </c>
      <c r="L17" s="388">
        <v>6.0600000000000001E-2</v>
      </c>
      <c r="M17" s="388">
        <v>7.1300000000000002E-2</v>
      </c>
      <c r="N17" s="388">
        <v>7.0800000000000002E-2</v>
      </c>
      <c r="O17" s="388">
        <f t="shared" si="0"/>
        <v>9.4783333333333344E-2</v>
      </c>
    </row>
    <row r="18" spans="2:16" ht="17.399999999999999" customHeight="1" x14ac:dyDescent="0.3">
      <c r="B18" s="385">
        <v>2021</v>
      </c>
      <c r="C18" s="388">
        <v>7.0999999999999994E-2</v>
      </c>
      <c r="D18" s="388">
        <v>7.3800000000000004E-2</v>
      </c>
      <c r="E18" s="388">
        <v>8.7499999999999994E-2</v>
      </c>
      <c r="F18" s="388">
        <v>9.8500000000000004E-2</v>
      </c>
      <c r="G18" s="388">
        <v>0.1026</v>
      </c>
      <c r="H18" s="388">
        <v>0.1208</v>
      </c>
      <c r="I18" s="388">
        <v>0.12</v>
      </c>
      <c r="J18" s="388">
        <v>0.1278</v>
      </c>
      <c r="K18" s="388">
        <v>0.1361</v>
      </c>
      <c r="L18" s="388">
        <v>0.1371</v>
      </c>
      <c r="M18" s="388">
        <v>0.13780000000000001</v>
      </c>
      <c r="N18" s="388">
        <v>0.1555</v>
      </c>
      <c r="O18" s="388">
        <f>AVERAGE(C18:N18)</f>
        <v>0.11404166666666667</v>
      </c>
    </row>
    <row r="19" spans="2:16" ht="17.399999999999999" customHeight="1" x14ac:dyDescent="0.3">
      <c r="B19" s="385">
        <v>2022</v>
      </c>
      <c r="C19" s="388">
        <v>0.17649999999999999</v>
      </c>
      <c r="D19" s="388">
        <v>0.17269999999999999</v>
      </c>
      <c r="E19" s="388">
        <v>0.15409999999999999</v>
      </c>
      <c r="F19" s="388">
        <v>0.16009999999999999</v>
      </c>
      <c r="G19" s="388">
        <v>0.19620000000000001</v>
      </c>
      <c r="H19" s="388">
        <v>0.24049999999999999</v>
      </c>
      <c r="I19" s="388">
        <v>0.29499999999999998</v>
      </c>
      <c r="J19" s="388">
        <v>0.25940000000000002</v>
      </c>
      <c r="K19" s="388">
        <v>0.30080000000000001</v>
      </c>
      <c r="L19" s="388">
        <v>0.30480000000000002</v>
      </c>
      <c r="M19" s="388">
        <v>0.25869999999999999</v>
      </c>
      <c r="N19" s="388">
        <v>0.25879999999999997</v>
      </c>
      <c r="O19" s="388">
        <f>AVERAGE(C19:N19)</f>
        <v>0.23146666666666668</v>
      </c>
    </row>
    <row r="20" spans="2:16" ht="17.399999999999999" customHeight="1" x14ac:dyDescent="0.3">
      <c r="B20" s="385">
        <v>2023</v>
      </c>
      <c r="C20" s="388">
        <v>0.25609999999999999</v>
      </c>
      <c r="D20" s="388">
        <v>0.26229999999999998</v>
      </c>
      <c r="E20" s="388">
        <v>0.214</v>
      </c>
      <c r="F20" s="388">
        <v>0.21490000000000001</v>
      </c>
      <c r="G20" s="388">
        <v>0.21199999999999999</v>
      </c>
      <c r="H20" s="388">
        <v>0.1986</v>
      </c>
      <c r="I20" s="388">
        <v>0.1779</v>
      </c>
      <c r="J20" s="388">
        <v>0.1658</v>
      </c>
      <c r="K20" s="388">
        <v>0.1578</v>
      </c>
      <c r="L20" s="388">
        <v>0.17</v>
      </c>
      <c r="M20" s="388">
        <v>0.18640000000000001</v>
      </c>
      <c r="N20" s="388">
        <v>0.22040000000000001</v>
      </c>
      <c r="O20" s="388">
        <f>AVERAGE(C20:N20)</f>
        <v>0.20301666666666665</v>
      </c>
    </row>
    <row r="21" spans="2:16" ht="14.4" x14ac:dyDescent="0.3">
      <c r="B21" s="403">
        <v>2024</v>
      </c>
      <c r="C21" s="388">
        <v>0.22670000000000001</v>
      </c>
      <c r="D21" s="388">
        <v>0.222</v>
      </c>
      <c r="E21" s="388">
        <v>0.19950000000000001</v>
      </c>
      <c r="F21" s="388">
        <v>0.18579999999999999</v>
      </c>
      <c r="G21" s="388">
        <v>0.1812</v>
      </c>
      <c r="H21" s="388">
        <v>0.18820000000000001</v>
      </c>
      <c r="I21" s="388">
        <v>0.189</v>
      </c>
      <c r="J21" s="388">
        <v>0.16339999999999999</v>
      </c>
      <c r="K21" s="388">
        <v>0.17180000000000001</v>
      </c>
      <c r="L21" s="388">
        <v>0.17499999999999999</v>
      </c>
      <c r="M21" s="388">
        <v>0.1711</v>
      </c>
      <c r="N21" s="388">
        <v>0.158</v>
      </c>
      <c r="O21" s="388">
        <f>AVERAGE(C21:N21)</f>
        <v>0.18597499999999997</v>
      </c>
    </row>
    <row r="22" spans="2:16" ht="14.4" x14ac:dyDescent="0.3">
      <c r="B22" s="403">
        <v>2025</v>
      </c>
      <c r="C22" s="388">
        <v>0.15679999999999999</v>
      </c>
      <c r="D22" s="388">
        <v>0.1532</v>
      </c>
      <c r="E22" s="388">
        <v>0.15060000000000001</v>
      </c>
      <c r="F22" s="388">
        <v>0.155</v>
      </c>
      <c r="G22" s="388"/>
      <c r="H22" s="388"/>
      <c r="I22" s="388"/>
      <c r="J22" s="388"/>
      <c r="K22" s="388"/>
      <c r="L22" s="388"/>
      <c r="M22" s="388"/>
      <c r="N22" s="388"/>
      <c r="O22" s="388">
        <f>AVERAGE(C22:N22)</f>
        <v>0.15390000000000001</v>
      </c>
      <c r="P22" s="381">
        <f>O22/O21</f>
        <v>0.82753058206748231</v>
      </c>
    </row>
    <row r="23" spans="2:16" ht="14.4" x14ac:dyDescent="0.3">
      <c r="B23" s="392"/>
      <c r="C23" s="393"/>
      <c r="D23" s="393"/>
      <c r="E23" s="393"/>
      <c r="F23" s="393"/>
      <c r="G23" s="393"/>
      <c r="H23" s="393"/>
      <c r="I23" s="393"/>
      <c r="J23" s="393"/>
      <c r="K23" s="393"/>
      <c r="L23" s="393"/>
      <c r="M23" s="393"/>
      <c r="N23" s="393"/>
      <c r="O23" s="393"/>
    </row>
    <row r="24" spans="2:16" ht="18" customHeight="1" x14ac:dyDescent="0.3">
      <c r="B24" s="392"/>
      <c r="C24" s="394" t="s">
        <v>355</v>
      </c>
      <c r="D24" s="393"/>
      <c r="E24" s="393"/>
      <c r="F24" s="393"/>
      <c r="G24" s="393"/>
      <c r="H24" s="393"/>
      <c r="I24" s="393"/>
      <c r="J24" s="393"/>
      <c r="K24" s="393"/>
      <c r="L24" s="393"/>
      <c r="M24" s="393"/>
      <c r="N24" s="393"/>
      <c r="O24" s="393"/>
    </row>
    <row r="25" spans="2:16" ht="5.0999999999999996" customHeight="1" x14ac:dyDescent="0.3">
      <c r="B25" s="395"/>
      <c r="C25" s="395"/>
      <c r="D25" s="395"/>
      <c r="E25" s="395"/>
      <c r="F25" s="395"/>
      <c r="G25" s="395"/>
      <c r="H25" s="395"/>
      <c r="I25" s="395"/>
      <c r="J25" s="395"/>
      <c r="K25" s="395"/>
      <c r="L25" s="395"/>
      <c r="M25" s="395"/>
      <c r="N25" s="395"/>
      <c r="O25" s="395"/>
    </row>
    <row r="26" spans="2:16" x14ac:dyDescent="0.3">
      <c r="B26" s="396" t="s">
        <v>356</v>
      </c>
      <c r="C26" s="397">
        <f>IF(C15=0," ",(C15-C5)/C5)</f>
        <v>-0.14710252600297175</v>
      </c>
      <c r="D26" s="397">
        <f t="shared" ref="D26:O26" si="13">IF(D15=0," ",(D15-D5)/D5)</f>
        <v>-0.28087986463620984</v>
      </c>
      <c r="E26" s="397">
        <f t="shared" si="13"/>
        <v>-0.23313219967087209</v>
      </c>
      <c r="F26" s="397">
        <f t="shared" si="13"/>
        <v>-0.222466960352423</v>
      </c>
      <c r="G26" s="397">
        <f t="shared" si="13"/>
        <v>-0.23409941207910198</v>
      </c>
      <c r="H26" s="397">
        <f t="shared" si="13"/>
        <v>-0.37406793703396846</v>
      </c>
      <c r="I26" s="397">
        <f t="shared" si="13"/>
        <v>-0.34522854851643947</v>
      </c>
      <c r="J26" s="397">
        <f t="shared" si="13"/>
        <v>-0.41848208011243854</v>
      </c>
      <c r="K26" s="397">
        <f t="shared" si="13"/>
        <v>-0.42522182232833267</v>
      </c>
      <c r="L26" s="397">
        <f t="shared" si="13"/>
        <v>-0.45670103092783504</v>
      </c>
      <c r="M26" s="397">
        <f t="shared" si="13"/>
        <v>-0.40104555638536221</v>
      </c>
      <c r="N26" s="397">
        <f t="shared" si="13"/>
        <v>-0.28273809523809529</v>
      </c>
      <c r="O26" s="397">
        <f t="shared" si="13"/>
        <v>-0.33835373562900611</v>
      </c>
    </row>
    <row r="27" spans="2:16" x14ac:dyDescent="0.3">
      <c r="B27" s="396" t="s">
        <v>357</v>
      </c>
      <c r="C27" s="397">
        <f>IF(C15=0," ",(C15-C6)/C6)</f>
        <v>-0.51190476190476186</v>
      </c>
      <c r="D27" s="397">
        <f t="shared" ref="D27:O27" si="14">IF(D15=0," ",(D15-D6)/D6)</f>
        <v>-0.20708955223880596</v>
      </c>
      <c r="E27" s="397">
        <f t="shared" si="14"/>
        <v>0.22847100175746932</v>
      </c>
      <c r="F27" s="397">
        <f t="shared" si="14"/>
        <v>0.56679982245894345</v>
      </c>
      <c r="G27" s="397">
        <f t="shared" si="14"/>
        <v>0.60830527497194176</v>
      </c>
      <c r="H27" s="397">
        <f t="shared" si="14"/>
        <v>0.74480369515011569</v>
      </c>
      <c r="I27" s="397">
        <f t="shared" si="14"/>
        <v>0.85237700919949633</v>
      </c>
      <c r="J27" s="397">
        <f t="shared" si="14"/>
        <v>0.87733248635956318</v>
      </c>
      <c r="K27" s="397">
        <f t="shared" si="14"/>
        <v>0.25820014196678592</v>
      </c>
      <c r="L27" s="397">
        <f t="shared" si="14"/>
        <v>7.6806767332093615E-2</v>
      </c>
      <c r="M27" s="397">
        <f t="shared" si="14"/>
        <v>0.20247091279836851</v>
      </c>
      <c r="N27" s="397">
        <f t="shared" si="14"/>
        <v>0.26469353484466818</v>
      </c>
      <c r="O27" s="397">
        <f t="shared" si="14"/>
        <v>0.2016816848983092</v>
      </c>
    </row>
    <row r="28" spans="2:16" x14ac:dyDescent="0.3">
      <c r="B28" s="396" t="s">
        <v>358</v>
      </c>
      <c r="C28" s="397">
        <f>IF(C15=0," ",(C15-C7)/C7)</f>
        <v>-0.24046947984068387</v>
      </c>
      <c r="D28" s="397">
        <f t="shared" ref="D28:O28" si="15">IF(D15=0," ",(D15-D7)/D7)</f>
        <v>-0.13456643475309696</v>
      </c>
      <c r="E28" s="397">
        <f t="shared" si="15"/>
        <v>-6.3228711570934626E-2</v>
      </c>
      <c r="F28" s="397">
        <f t="shared" si="15"/>
        <v>-2.9766649259269456E-2</v>
      </c>
      <c r="G28" s="397">
        <f t="shared" si="15"/>
        <v>-3.1141400619312257E-2</v>
      </c>
      <c r="H28" s="397">
        <f t="shared" si="15"/>
        <v>-2.2512614827273795E-2</v>
      </c>
      <c r="I28" s="397">
        <f t="shared" si="15"/>
        <v>4.2251723257595013E-2</v>
      </c>
      <c r="J28" s="397">
        <f t="shared" si="15"/>
        <v>0.10702341137123755</v>
      </c>
      <c r="K28" s="397">
        <f t="shared" si="15"/>
        <v>0.10859106529209629</v>
      </c>
      <c r="L28" s="397">
        <f t="shared" si="15"/>
        <v>8.6597938144329908E-2</v>
      </c>
      <c r="M28" s="397">
        <f t="shared" si="15"/>
        <v>8.1204963836255237E-2</v>
      </c>
      <c r="N28" s="397">
        <f t="shared" si="15"/>
        <v>1.6755062680809889E-2</v>
      </c>
      <c r="O28" s="397">
        <f t="shared" si="15"/>
        <v>-6.7386831845008682E-3</v>
      </c>
    </row>
    <row r="29" spans="2:16" x14ac:dyDescent="0.3">
      <c r="B29" s="396" t="s">
        <v>359</v>
      </c>
      <c r="C29" s="397">
        <f>IF(C15=0," ",(C15-C8)/C8)</f>
        <v>-0.32712033292304088</v>
      </c>
      <c r="D29" s="397">
        <f t="shared" ref="D29:O29" si="16">IF(D15=0," ",(D15-D8)/D8)</f>
        <v>-0.28326493900725164</v>
      </c>
      <c r="E29" s="397">
        <f t="shared" si="16"/>
        <v>-0.26921066387872444</v>
      </c>
      <c r="F29" s="397">
        <f t="shared" si="16"/>
        <v>-0.30443349753694587</v>
      </c>
      <c r="G29" s="397">
        <f t="shared" si="16"/>
        <v>-0.365929203539823</v>
      </c>
      <c r="H29" s="397">
        <f t="shared" si="16"/>
        <v>-0.37690721649484532</v>
      </c>
      <c r="I29" s="397">
        <f t="shared" si="16"/>
        <v>-0.30980557903634826</v>
      </c>
      <c r="J29" s="397">
        <f t="shared" si="16"/>
        <v>-0.32476540187678499</v>
      </c>
      <c r="K29" s="397">
        <f t="shared" si="16"/>
        <v>-0.33070539419087136</v>
      </c>
      <c r="L29" s="397">
        <f t="shared" si="16"/>
        <v>-0.30198675496688748</v>
      </c>
      <c r="M29" s="397">
        <f t="shared" si="16"/>
        <v>-0.30622837370242217</v>
      </c>
      <c r="N29" s="397">
        <f t="shared" si="16"/>
        <v>-0.27347114556416885</v>
      </c>
      <c r="O29" s="397">
        <f t="shared" si="16"/>
        <v>-0.31590380730972983</v>
      </c>
    </row>
    <row r="30" spans="2:16" x14ac:dyDescent="0.3">
      <c r="B30" s="396" t="s">
        <v>360</v>
      </c>
      <c r="C30" s="397">
        <f>IF(C15=0," ",(C15-C9)/C9)</f>
        <v>-0.53219233903830476</v>
      </c>
      <c r="D30" s="397">
        <f t="shared" ref="D30:O30" si="17">IF(D15=0," ",(D15-D9)/D9)</f>
        <v>-0.47638603696098558</v>
      </c>
      <c r="E30" s="397">
        <f t="shared" si="17"/>
        <v>-0.43031784841075793</v>
      </c>
      <c r="F30" s="397">
        <f t="shared" si="17"/>
        <v>-0.44211774002370607</v>
      </c>
      <c r="G30" s="397">
        <f t="shared" si="17"/>
        <v>-0.44671814671814669</v>
      </c>
      <c r="H30" s="397">
        <f t="shared" si="17"/>
        <v>-0.42173746651358585</v>
      </c>
      <c r="I30" s="397">
        <f t="shared" si="17"/>
        <v>-0.36260733801717404</v>
      </c>
      <c r="J30" s="397">
        <f t="shared" si="17"/>
        <v>-0.2966425839354016</v>
      </c>
      <c r="K30" s="397">
        <f t="shared" si="17"/>
        <v>-0.23771266540642727</v>
      </c>
      <c r="L30" s="397">
        <f t="shared" si="17"/>
        <v>-0.31141114982578399</v>
      </c>
      <c r="M30" s="397">
        <f t="shared" si="17"/>
        <v>-0.34450347364119338</v>
      </c>
      <c r="N30" s="397">
        <f t="shared" si="17"/>
        <v>-0.33135156559651219</v>
      </c>
      <c r="O30" s="397">
        <f t="shared" si="17"/>
        <v>-0.38891536733165377</v>
      </c>
    </row>
    <row r="31" spans="2:16" x14ac:dyDescent="0.3">
      <c r="B31" s="396" t="s">
        <v>361</v>
      </c>
      <c r="C31" s="397">
        <f>IF(C15=0," ",(C15-C10)/C10)</f>
        <v>-0.54552652414885183</v>
      </c>
      <c r="D31" s="397">
        <f t="shared" ref="D31:O31" si="18">IF(D15=0," ",(D15-D10)/D10)</f>
        <v>-0.49243630573248404</v>
      </c>
      <c r="E31" s="397">
        <f t="shared" si="18"/>
        <v>-0.43877960658370124</v>
      </c>
      <c r="F31" s="397">
        <f t="shared" si="18"/>
        <v>-0.4610687022900764</v>
      </c>
      <c r="G31" s="397">
        <f t="shared" si="18"/>
        <v>-0.42334004024144867</v>
      </c>
      <c r="H31" s="397">
        <f t="shared" si="18"/>
        <v>-0.35729476818375155</v>
      </c>
      <c r="I31" s="397">
        <f t="shared" si="18"/>
        <v>-0.28377192982456145</v>
      </c>
      <c r="J31" s="397">
        <f t="shared" si="18"/>
        <v>-0.23838011965025305</v>
      </c>
      <c r="K31" s="397">
        <f t="shared" si="18"/>
        <v>-0.29130052724077327</v>
      </c>
      <c r="L31" s="397">
        <f t="shared" si="18"/>
        <v>-0.31230969986950852</v>
      </c>
      <c r="M31" s="397">
        <f t="shared" si="18"/>
        <v>-0.31802721088435376</v>
      </c>
      <c r="N31" s="397">
        <f t="shared" si="18"/>
        <v>-0.30173841059602657</v>
      </c>
      <c r="O31" s="397">
        <f t="shared" si="18"/>
        <v>-0.37632465862895648</v>
      </c>
    </row>
    <row r="32" spans="2:16" x14ac:dyDescent="0.3">
      <c r="B32" s="396" t="s">
        <v>362</v>
      </c>
      <c r="C32" s="397">
        <f>IF(C15=0," ",(C15-C11)/C11)</f>
        <v>-0.50303030303030305</v>
      </c>
      <c r="D32" s="397">
        <f t="shared" ref="D32:O32" si="19">IF(D15=0," ",(D15-D11)/D11)</f>
        <v>-0.46897126197417743</v>
      </c>
      <c r="E32" s="397">
        <f t="shared" si="19"/>
        <v>-0.41798501248959197</v>
      </c>
      <c r="F32" s="397">
        <f t="shared" si="19"/>
        <v>-0.40472175379426645</v>
      </c>
      <c r="G32" s="397">
        <f t="shared" si="19"/>
        <v>-0.4068708609271523</v>
      </c>
      <c r="H32" s="397">
        <f t="shared" si="19"/>
        <v>-0.36592530423835501</v>
      </c>
      <c r="I32" s="397">
        <f t="shared" si="19"/>
        <v>-0.31501677852348992</v>
      </c>
      <c r="J32" s="397">
        <f t="shared" si="19"/>
        <v>-0.31070387338608912</v>
      </c>
      <c r="K32" s="397">
        <f t="shared" si="19"/>
        <v>-0.34082550061299549</v>
      </c>
      <c r="L32" s="397">
        <f t="shared" si="19"/>
        <v>-0.33178360101437032</v>
      </c>
      <c r="M32" s="397">
        <f t="shared" si="19"/>
        <v>-0.30412147505423004</v>
      </c>
      <c r="N32" s="397">
        <f t="shared" si="19"/>
        <v>-0.23422605537902863</v>
      </c>
      <c r="O32" s="397">
        <f t="shared" si="19"/>
        <v>-0.36773511799929548</v>
      </c>
    </row>
    <row r="33" spans="2:15" x14ac:dyDescent="0.3">
      <c r="B33" s="396" t="s">
        <v>363</v>
      </c>
      <c r="C33" s="397">
        <f>IF(C15=0," ",(C15-C12)/C12)</f>
        <v>-0.45098039215686275</v>
      </c>
      <c r="D33" s="397">
        <f t="shared" ref="D33:O33" si="20">IF(D15=0," ",(D15-D12)/D12)</f>
        <v>-0.35606060606060608</v>
      </c>
      <c r="E33" s="397">
        <f t="shared" si="20"/>
        <v>-0.10727969348658993</v>
      </c>
      <c r="F33" s="397">
        <f t="shared" si="20"/>
        <v>1.1461318051575861E-2</v>
      </c>
      <c r="G33" s="397">
        <f t="shared" si="20"/>
        <v>0.10400616332819732</v>
      </c>
      <c r="H33" s="397">
        <f t="shared" si="20"/>
        <v>0.1438304314912946</v>
      </c>
      <c r="I33" s="397">
        <f t="shared" si="20"/>
        <v>0.17566594672426211</v>
      </c>
      <c r="J33" s="397">
        <f t="shared" si="20"/>
        <v>0.10628342245989303</v>
      </c>
      <c r="K33" s="397">
        <f t="shared" si="20"/>
        <v>0.14235127478753545</v>
      </c>
      <c r="L33" s="397">
        <f t="shared" si="20"/>
        <v>0.15909090909090909</v>
      </c>
      <c r="M33" s="397">
        <f t="shared" si="20"/>
        <v>0.22349351639969484</v>
      </c>
      <c r="N33" s="397">
        <f t="shared" si="20"/>
        <v>0.45431034482758603</v>
      </c>
      <c r="O33" s="397">
        <f t="shared" si="20"/>
        <v>9.3342330184434507E-3</v>
      </c>
    </row>
    <row r="34" spans="2:15" x14ac:dyDescent="0.3">
      <c r="B34" s="396" t="s">
        <v>364</v>
      </c>
      <c r="C34" s="397">
        <f>IF(C15=0," ",(C15-C14)/C14)</f>
        <v>0.21610169491525424</v>
      </c>
      <c r="D34" s="397">
        <f t="shared" ref="D34:O35" si="21">IF(D15=0," ",(D15-D14)/D14)</f>
        <v>0.19382022471910107</v>
      </c>
      <c r="E34" s="397">
        <f t="shared" si="21"/>
        <v>0.39243027888446219</v>
      </c>
      <c r="F34" s="397">
        <f t="shared" si="21"/>
        <v>0.30861909175162183</v>
      </c>
      <c r="G34" s="397">
        <f t="shared" si="21"/>
        <v>0.22688356164383569</v>
      </c>
      <c r="H34" s="397">
        <f t="shared" si="21"/>
        <v>0.20494417862838915</v>
      </c>
      <c r="I34" s="397">
        <f t="shared" si="21"/>
        <v>0.44641275465013286</v>
      </c>
      <c r="J34" s="397">
        <f t="shared" si="21"/>
        <v>0.64512922465208766</v>
      </c>
      <c r="K34" s="397">
        <f t="shared" si="21"/>
        <v>0.71049840933191943</v>
      </c>
      <c r="L34" s="397">
        <f t="shared" si="21"/>
        <v>0.50285171102661586</v>
      </c>
      <c r="M34" s="397">
        <f t="shared" si="21"/>
        <v>0.50187265917602975</v>
      </c>
      <c r="N34" s="397">
        <f t="shared" si="21"/>
        <v>0.48503521126760546</v>
      </c>
      <c r="O34" s="397">
        <f t="shared" si="21"/>
        <v>0.39677846082016993</v>
      </c>
    </row>
    <row r="35" spans="2:15" x14ac:dyDescent="0.3">
      <c r="B35" s="396" t="s">
        <v>365</v>
      </c>
      <c r="C35" s="397">
        <f>IF(C16=0," ",(C16-C15)/C15)</f>
        <v>0.54181184668989535</v>
      </c>
      <c r="D35" s="397">
        <f t="shared" si="21"/>
        <v>0.295686274509804</v>
      </c>
      <c r="E35" s="397">
        <f t="shared" si="21"/>
        <v>8.3690987124463434E-2</v>
      </c>
      <c r="F35" s="397">
        <f t="shared" si="21"/>
        <v>-5.8073654390934738E-2</v>
      </c>
      <c r="G35" s="397">
        <f t="shared" si="21"/>
        <v>-4.6755059316120104E-2</v>
      </c>
      <c r="H35" s="397">
        <f t="shared" si="21"/>
        <v>-2.9119788219722137E-2</v>
      </c>
      <c r="I35" s="397">
        <f t="shared" si="21"/>
        <v>-7.7770973668095461E-2</v>
      </c>
      <c r="J35" s="397">
        <f t="shared" si="21"/>
        <v>-9.7885196374622466E-2</v>
      </c>
      <c r="K35" s="397">
        <f t="shared" si="21"/>
        <v>-8.4934903905765594E-2</v>
      </c>
      <c r="L35" s="397">
        <f t="shared" si="21"/>
        <v>-0.12523719165085379</v>
      </c>
      <c r="M35" s="397">
        <f t="shared" si="21"/>
        <v>-0.19763092269326671</v>
      </c>
      <c r="N35" s="397">
        <f t="shared" si="21"/>
        <v>-0.18968583283935983</v>
      </c>
      <c r="O35" s="397">
        <f t="shared" si="21"/>
        <v>-1.8830083565459576E-2</v>
      </c>
    </row>
    <row r="36" spans="2:15" x14ac:dyDescent="0.3">
      <c r="B36" s="396" t="s">
        <v>366</v>
      </c>
      <c r="C36" s="397">
        <f t="shared" ref="C36:O41" si="22">IF(C17=0," ",(C17-C16)/C16)</f>
        <v>-0.219774011299435</v>
      </c>
      <c r="D36" s="397">
        <f t="shared" si="22"/>
        <v>-0.20338983050847467</v>
      </c>
      <c r="E36" s="397">
        <f t="shared" si="22"/>
        <v>-9.4389438943894441E-2</v>
      </c>
      <c r="F36" s="397">
        <f t="shared" si="22"/>
        <v>2.2556390977443211E-3</v>
      </c>
      <c r="G36" s="397">
        <f t="shared" si="22"/>
        <v>-0.14568081991215229</v>
      </c>
      <c r="H36" s="397">
        <f t="shared" si="22"/>
        <v>-0.29447852760736198</v>
      </c>
      <c r="I36" s="397">
        <f t="shared" si="22"/>
        <v>-0.41367861885790175</v>
      </c>
      <c r="J36" s="397">
        <f t="shared" si="22"/>
        <v>-0.72605492297387808</v>
      </c>
      <c r="K36" s="397">
        <f t="shared" si="22"/>
        <v>-0.69444444444444442</v>
      </c>
      <c r="L36" s="397">
        <f t="shared" si="22"/>
        <v>-0.56182212581344904</v>
      </c>
      <c r="M36" s="397">
        <f t="shared" si="22"/>
        <v>-0.44599844599844601</v>
      </c>
      <c r="N36" s="397">
        <f t="shared" si="22"/>
        <v>-0.48207754206291142</v>
      </c>
      <c r="O36" s="397">
        <f t="shared" si="22"/>
        <v>-0.35419032477856005</v>
      </c>
    </row>
    <row r="37" spans="2:15" x14ac:dyDescent="0.3">
      <c r="B37" s="396" t="s">
        <v>367</v>
      </c>
      <c r="C37" s="397">
        <f t="shared" si="22"/>
        <v>-0.48587979724837077</v>
      </c>
      <c r="D37" s="397">
        <f t="shared" si="22"/>
        <v>-0.43920972644376893</v>
      </c>
      <c r="E37" s="397">
        <f t="shared" si="22"/>
        <v>-0.36224489795918369</v>
      </c>
      <c r="F37" s="397">
        <f t="shared" si="22"/>
        <v>-0.26106526631657911</v>
      </c>
      <c r="G37" s="397">
        <f t="shared" si="22"/>
        <v>-0.12082262210796917</v>
      </c>
      <c r="H37" s="397">
        <f t="shared" si="22"/>
        <v>0.16714975845410637</v>
      </c>
      <c r="I37" s="397">
        <f t="shared" si="22"/>
        <v>0.35900339750849369</v>
      </c>
      <c r="J37" s="397">
        <f t="shared" si="22"/>
        <v>2.1246943765281174</v>
      </c>
      <c r="K37" s="397">
        <f t="shared" si="22"/>
        <v>2.0177383592017737</v>
      </c>
      <c r="L37" s="397">
        <f t="shared" si="22"/>
        <v>1.2623762376237624</v>
      </c>
      <c r="M37" s="397">
        <f t="shared" si="22"/>
        <v>0.93267882187938289</v>
      </c>
      <c r="N37" s="397">
        <f t="shared" si="22"/>
        <v>1.1963276836158192</v>
      </c>
      <c r="O37" s="397">
        <f t="shared" si="22"/>
        <v>0.20318269737998931</v>
      </c>
    </row>
    <row r="38" spans="2:15" x14ac:dyDescent="0.3">
      <c r="B38" s="396" t="s">
        <v>368</v>
      </c>
      <c r="C38" s="397">
        <f t="shared" si="22"/>
        <v>1.4859154929577465</v>
      </c>
      <c r="D38" s="397">
        <f t="shared" si="22"/>
        <v>1.3401084010840105</v>
      </c>
      <c r="E38" s="397">
        <f t="shared" si="22"/>
        <v>0.76114285714285712</v>
      </c>
      <c r="F38" s="397">
        <f t="shared" si="22"/>
        <v>0.62538071065989831</v>
      </c>
      <c r="G38" s="397">
        <f t="shared" si="22"/>
        <v>0.91228070175438614</v>
      </c>
      <c r="H38" s="397">
        <f t="shared" si="22"/>
        <v>0.99089403973509915</v>
      </c>
      <c r="I38" s="397">
        <f t="shared" si="22"/>
        <v>1.4583333333333333</v>
      </c>
      <c r="J38" s="397">
        <f t="shared" si="22"/>
        <v>1.0297339593114243</v>
      </c>
      <c r="K38" s="397">
        <f t="shared" si="22"/>
        <v>1.210139603232917</v>
      </c>
      <c r="L38" s="397">
        <f t="shared" si="22"/>
        <v>1.2231947483588623</v>
      </c>
      <c r="M38" s="397">
        <f t="shared" si="22"/>
        <v>0.87735849056603754</v>
      </c>
      <c r="N38" s="397">
        <f t="shared" si="22"/>
        <v>0.66430868167202561</v>
      </c>
      <c r="O38" s="397">
        <f t="shared" si="22"/>
        <v>1.0296675191815858</v>
      </c>
    </row>
    <row r="39" spans="2:15" x14ac:dyDescent="0.3">
      <c r="B39" s="396" t="s">
        <v>369</v>
      </c>
      <c r="C39" s="397">
        <f t="shared" si="22"/>
        <v>0.45099150141643063</v>
      </c>
      <c r="D39" s="397">
        <f t="shared" si="22"/>
        <v>0.51881876085697731</v>
      </c>
      <c r="E39" s="397">
        <f t="shared" si="22"/>
        <v>0.38870863075924733</v>
      </c>
      <c r="F39" s="397">
        <f t="shared" si="22"/>
        <v>0.3422860712054967</v>
      </c>
      <c r="G39" s="397">
        <f t="shared" si="22"/>
        <v>8.053007135575932E-2</v>
      </c>
      <c r="H39" s="397">
        <f t="shared" si="22"/>
        <v>-0.1742203742203742</v>
      </c>
      <c r="I39" s="397">
        <f t="shared" si="22"/>
        <v>-0.39694915254237284</v>
      </c>
      <c r="J39" s="397">
        <f t="shared" si="22"/>
        <v>-0.36083269082498076</v>
      </c>
      <c r="K39" s="397">
        <f t="shared" si="22"/>
        <v>-0.47539893617021278</v>
      </c>
      <c r="L39" s="397">
        <f t="shared" si="22"/>
        <v>-0.442257217847769</v>
      </c>
      <c r="M39" s="397">
        <f t="shared" si="22"/>
        <v>-0.27947429454967138</v>
      </c>
      <c r="N39" s="397">
        <f t="shared" si="22"/>
        <v>-0.14837712519319926</v>
      </c>
      <c r="O39" s="397">
        <f t="shared" si="22"/>
        <v>-0.12291186635944713</v>
      </c>
    </row>
    <row r="40" spans="2:15" x14ac:dyDescent="0.3">
      <c r="B40" s="396" t="s">
        <v>372</v>
      </c>
      <c r="C40" s="397">
        <f t="shared" si="22"/>
        <v>-0.11479890667707919</v>
      </c>
      <c r="D40" s="397">
        <f t="shared" si="22"/>
        <v>-0.15364086923370179</v>
      </c>
      <c r="E40" s="397">
        <f t="shared" si="22"/>
        <v>-6.7757009345794331E-2</v>
      </c>
      <c r="F40" s="397">
        <f t="shared" si="22"/>
        <v>-0.13541181945090747</v>
      </c>
      <c r="G40" s="397">
        <f>IF(G21=0," ",(G21-G20)/G20)</f>
        <v>-0.1452830188679245</v>
      </c>
      <c r="H40" s="397">
        <f t="shared" si="22"/>
        <v>-5.2366565961732087E-2</v>
      </c>
      <c r="I40" s="397">
        <f t="shared" si="22"/>
        <v>6.2394603709949405E-2</v>
      </c>
      <c r="J40" s="397">
        <f t="shared" si="22"/>
        <v>-1.4475271411339042E-2</v>
      </c>
      <c r="K40" s="397">
        <f t="shared" si="22"/>
        <v>8.8719898605830252E-2</v>
      </c>
      <c r="L40" s="397">
        <f t="shared" si="22"/>
        <v>2.9411764705882214E-2</v>
      </c>
      <c r="M40" s="397">
        <f t="shared" si="22"/>
        <v>-8.2081545064377717E-2</v>
      </c>
      <c r="N40" s="397">
        <f t="shared" si="22"/>
        <v>-0.28312159709618878</v>
      </c>
      <c r="O40" s="397">
        <f t="shared" si="22"/>
        <v>-8.3942205073475148E-2</v>
      </c>
    </row>
    <row r="41" spans="2:15" x14ac:dyDescent="0.3">
      <c r="B41" s="396" t="s">
        <v>602</v>
      </c>
      <c r="C41" s="397">
        <f t="shared" si="22"/>
        <v>-0.30833700926334368</v>
      </c>
      <c r="D41" s="397">
        <f t="shared" si="22"/>
        <v>-0.30990990990990991</v>
      </c>
      <c r="E41" s="397">
        <f t="shared" si="22"/>
        <v>-0.2451127819548872</v>
      </c>
      <c r="F41" s="397">
        <f t="shared" si="22"/>
        <v>-0.16576964477933259</v>
      </c>
      <c r="G41" s="397" t="str">
        <f t="shared" si="22"/>
        <v xml:space="preserve"> </v>
      </c>
      <c r="H41" s="397" t="str">
        <f t="shared" si="22"/>
        <v xml:space="preserve"> </v>
      </c>
      <c r="I41" s="397" t="str">
        <f t="shared" si="22"/>
        <v xml:space="preserve"> </v>
      </c>
      <c r="J41" s="397" t="str">
        <f t="shared" si="22"/>
        <v xml:space="preserve"> </v>
      </c>
      <c r="K41" s="397" t="str">
        <f t="shared" si="22"/>
        <v xml:space="preserve"> </v>
      </c>
      <c r="L41" s="397" t="str">
        <f t="shared" si="22"/>
        <v xml:space="preserve"> </v>
      </c>
      <c r="M41" s="397" t="str">
        <f t="shared" si="22"/>
        <v xml:space="preserve"> </v>
      </c>
      <c r="N41" s="397" t="str">
        <f t="shared" si="22"/>
        <v xml:space="preserve"> </v>
      </c>
      <c r="O41" s="397">
        <f t="shared" si="22"/>
        <v>-0.17246941793251763</v>
      </c>
    </row>
    <row r="42" spans="2:15" x14ac:dyDescent="0.3">
      <c r="B42" s="396"/>
      <c r="C42" s="398"/>
      <c r="D42" s="398"/>
      <c r="E42" s="398"/>
      <c r="F42" s="398"/>
      <c r="G42" s="398"/>
      <c r="H42" s="398"/>
      <c r="I42" s="398"/>
      <c r="J42" s="398"/>
      <c r="K42" s="398"/>
      <c r="L42" s="398"/>
      <c r="M42" s="398"/>
      <c r="N42" s="398"/>
      <c r="O42" s="398"/>
    </row>
    <row r="43" spans="2:15" ht="14.4" x14ac:dyDescent="0.3">
      <c r="B43" s="396"/>
      <c r="C43" s="394" t="s">
        <v>370</v>
      </c>
      <c r="D43" s="398"/>
      <c r="E43" s="398"/>
      <c r="F43" s="398"/>
      <c r="G43" s="398"/>
      <c r="H43" s="398"/>
      <c r="I43" s="398"/>
      <c r="J43" s="398"/>
      <c r="K43" s="398"/>
      <c r="L43" s="398"/>
      <c r="M43" s="398"/>
      <c r="N43" s="398"/>
      <c r="O43" s="398"/>
    </row>
    <row r="44" spans="2:15" x14ac:dyDescent="0.3">
      <c r="B44" s="396"/>
      <c r="C44" s="398"/>
      <c r="D44" s="398"/>
      <c r="E44" s="398"/>
      <c r="F44" s="398"/>
      <c r="G44" s="398"/>
      <c r="H44" s="398"/>
      <c r="I44" s="398"/>
      <c r="J44" s="398"/>
      <c r="K44" s="398"/>
      <c r="L44" s="398"/>
      <c r="M44" s="398"/>
      <c r="N44" s="398"/>
      <c r="O44" s="398"/>
    </row>
    <row r="45" spans="2:15" x14ac:dyDescent="0.3">
      <c r="B45" s="396"/>
      <c r="C45" s="398"/>
      <c r="D45" s="398"/>
      <c r="E45" s="398"/>
      <c r="F45" s="398"/>
      <c r="G45" s="398"/>
      <c r="H45" s="398"/>
      <c r="I45" s="398"/>
      <c r="J45" s="398"/>
      <c r="K45" s="398"/>
      <c r="L45" s="398"/>
      <c r="M45" s="398"/>
      <c r="N45" s="398"/>
      <c r="O45" s="398"/>
    </row>
    <row r="46" spans="2:15" x14ac:dyDescent="0.3">
      <c r="B46" s="396"/>
      <c r="C46" s="398"/>
      <c r="D46" s="398"/>
      <c r="E46" s="398"/>
      <c r="F46" s="398"/>
      <c r="G46" s="398"/>
      <c r="H46" s="398"/>
      <c r="I46" s="398"/>
      <c r="J46" s="398"/>
      <c r="K46" s="398"/>
      <c r="L46" s="398"/>
      <c r="M46" s="398"/>
      <c r="N46" s="398"/>
      <c r="O46" s="398"/>
    </row>
    <row r="47" spans="2:15" x14ac:dyDescent="0.3">
      <c r="B47" s="396"/>
      <c r="C47" s="398"/>
      <c r="D47" s="398"/>
      <c r="E47" s="398"/>
      <c r="F47" s="398"/>
      <c r="G47" s="398"/>
      <c r="H47" s="398"/>
      <c r="I47" s="398"/>
      <c r="J47" s="398"/>
      <c r="K47" s="398"/>
      <c r="L47" s="398"/>
      <c r="M47" s="398"/>
      <c r="N47" s="398"/>
      <c r="O47" s="398"/>
    </row>
    <row r="48" spans="2:15" x14ac:dyDescent="0.3">
      <c r="B48" s="396"/>
      <c r="C48" s="398"/>
      <c r="D48" s="398"/>
      <c r="E48" s="398"/>
      <c r="F48" s="398"/>
      <c r="G48" s="398"/>
      <c r="H48" s="398"/>
      <c r="I48" s="398"/>
      <c r="J48" s="398"/>
      <c r="K48" s="398"/>
      <c r="L48" s="398"/>
      <c r="M48" s="398"/>
      <c r="N48" s="398"/>
      <c r="O48" s="398"/>
    </row>
    <row r="49" spans="2:15" x14ac:dyDescent="0.3">
      <c r="B49" s="396"/>
      <c r="C49" s="398"/>
      <c r="D49" s="398"/>
      <c r="E49" s="398"/>
      <c r="F49" s="398"/>
      <c r="G49" s="398"/>
      <c r="H49" s="398"/>
      <c r="I49" s="398"/>
      <c r="J49" s="398"/>
      <c r="K49" s="398"/>
      <c r="L49" s="398"/>
      <c r="M49" s="398"/>
      <c r="N49" s="398"/>
      <c r="O49" s="398"/>
    </row>
    <row r="50" spans="2:15" x14ac:dyDescent="0.3">
      <c r="B50" s="396"/>
      <c r="C50" s="398"/>
      <c r="D50" s="398"/>
      <c r="E50" s="398"/>
      <c r="F50" s="398"/>
      <c r="G50" s="398"/>
      <c r="H50" s="398"/>
      <c r="I50" s="398"/>
      <c r="J50" s="398"/>
      <c r="K50" s="398"/>
      <c r="L50" s="398"/>
      <c r="M50" s="398"/>
      <c r="N50" s="398"/>
      <c r="O50" s="398"/>
    </row>
    <row r="51" spans="2:15" x14ac:dyDescent="0.3">
      <c r="B51" s="396"/>
      <c r="C51" s="398"/>
      <c r="D51" s="398"/>
      <c r="E51" s="398"/>
      <c r="F51" s="398"/>
      <c r="G51" s="398"/>
      <c r="H51" s="398"/>
      <c r="I51" s="398"/>
      <c r="J51" s="398"/>
      <c r="K51" s="398"/>
      <c r="L51" s="398"/>
      <c r="M51" s="398"/>
      <c r="N51" s="398"/>
      <c r="O51" s="398"/>
    </row>
    <row r="52" spans="2:15" x14ac:dyDescent="0.3">
      <c r="B52" s="396"/>
      <c r="C52" s="398"/>
      <c r="D52" s="398"/>
      <c r="E52" s="398"/>
      <c r="F52" s="398"/>
      <c r="G52" s="398"/>
      <c r="H52" s="398"/>
      <c r="I52" s="398"/>
      <c r="J52" s="398"/>
      <c r="K52" s="398"/>
      <c r="L52" s="398"/>
      <c r="M52" s="398"/>
      <c r="N52" s="398"/>
      <c r="O52" s="398"/>
    </row>
    <row r="53" spans="2:15" x14ac:dyDescent="0.3">
      <c r="B53" s="396"/>
      <c r="C53" s="398"/>
      <c r="D53" s="398"/>
      <c r="E53" s="398"/>
      <c r="F53" s="398"/>
      <c r="G53" s="398"/>
      <c r="H53" s="398"/>
      <c r="I53" s="398"/>
      <c r="J53" s="398"/>
      <c r="K53" s="398"/>
      <c r="L53" s="398"/>
      <c r="M53" s="398"/>
      <c r="N53" s="398"/>
      <c r="O53" s="398"/>
    </row>
    <row r="54" spans="2:15" x14ac:dyDescent="0.3">
      <c r="B54" s="396"/>
      <c r="C54" s="398"/>
      <c r="D54" s="398"/>
      <c r="E54" s="398"/>
      <c r="F54" s="398"/>
      <c r="G54" s="398"/>
      <c r="H54" s="398"/>
      <c r="I54" s="398"/>
      <c r="J54" s="398"/>
      <c r="K54" s="398"/>
      <c r="L54" s="398"/>
      <c r="M54" s="398"/>
      <c r="N54" s="398"/>
      <c r="O54" s="398"/>
    </row>
    <row r="55" spans="2:15" x14ac:dyDescent="0.3">
      <c r="B55" s="396"/>
      <c r="C55" s="398"/>
      <c r="D55" s="398"/>
      <c r="E55" s="398"/>
      <c r="F55" s="398"/>
      <c r="G55" s="398"/>
      <c r="H55" s="398"/>
      <c r="I55" s="398"/>
      <c r="J55" s="398"/>
      <c r="K55" s="398"/>
      <c r="L55" s="398"/>
      <c r="M55" s="398"/>
      <c r="N55" s="398"/>
      <c r="O55" s="398"/>
    </row>
    <row r="56" spans="2:15" x14ac:dyDescent="0.3">
      <c r="B56" s="396"/>
      <c r="C56" s="398"/>
      <c r="D56" s="398"/>
      <c r="E56" s="398"/>
      <c r="F56" s="398"/>
      <c r="G56" s="398"/>
      <c r="H56" s="398"/>
      <c r="I56" s="398"/>
      <c r="J56" s="398"/>
      <c r="K56" s="398"/>
      <c r="L56" s="398"/>
      <c r="M56" s="398"/>
      <c r="N56" s="398"/>
      <c r="O56" s="398"/>
    </row>
    <row r="57" spans="2:15" x14ac:dyDescent="0.3">
      <c r="B57" s="396"/>
      <c r="C57" s="398"/>
      <c r="D57" s="398"/>
      <c r="E57" s="398"/>
      <c r="F57" s="398"/>
      <c r="G57" s="398"/>
      <c r="H57" s="398"/>
      <c r="I57" s="398"/>
      <c r="J57" s="398"/>
      <c r="K57" s="398"/>
      <c r="L57" s="398"/>
      <c r="M57" s="398"/>
      <c r="N57" s="398"/>
      <c r="O57" s="398"/>
    </row>
    <row r="58" spans="2:15" x14ac:dyDescent="0.3">
      <c r="B58" s="396"/>
      <c r="C58" s="398"/>
      <c r="D58" s="398"/>
      <c r="E58" s="398"/>
      <c r="F58" s="398"/>
      <c r="G58" s="398"/>
      <c r="H58" s="398"/>
      <c r="I58" s="398"/>
      <c r="J58" s="398"/>
      <c r="K58" s="398"/>
      <c r="L58" s="398"/>
      <c r="M58" s="398"/>
      <c r="N58" s="398"/>
      <c r="O58" s="398"/>
    </row>
    <row r="59" spans="2:15" x14ac:dyDescent="0.3">
      <c r="B59" s="396"/>
      <c r="C59" s="398"/>
      <c r="D59" s="398"/>
      <c r="E59" s="398"/>
      <c r="F59" s="398"/>
      <c r="G59" s="398"/>
      <c r="H59" s="398"/>
      <c r="I59" s="398"/>
      <c r="J59" s="398"/>
      <c r="K59" s="398"/>
      <c r="L59" s="398"/>
      <c r="M59" s="398"/>
      <c r="N59" s="398"/>
      <c r="O59" s="398"/>
    </row>
    <row r="60" spans="2:15" x14ac:dyDescent="0.3">
      <c r="B60" s="396"/>
      <c r="C60" s="398"/>
      <c r="D60" s="398"/>
      <c r="E60" s="398"/>
      <c r="F60" s="398"/>
      <c r="G60" s="398"/>
      <c r="H60" s="398"/>
      <c r="I60" s="398"/>
      <c r="J60" s="398"/>
      <c r="K60" s="398"/>
      <c r="L60" s="398"/>
      <c r="M60" s="398"/>
      <c r="N60" s="398"/>
      <c r="O60" s="398"/>
    </row>
    <row r="61" spans="2:15" x14ac:dyDescent="0.3">
      <c r="B61" s="396"/>
      <c r="C61" s="398"/>
      <c r="D61" s="398"/>
      <c r="E61" s="398"/>
      <c r="F61" s="398"/>
      <c r="G61" s="398"/>
      <c r="H61" s="398"/>
      <c r="I61" s="398"/>
      <c r="J61" s="398"/>
      <c r="K61" s="398"/>
      <c r="L61" s="398"/>
      <c r="M61" s="398"/>
      <c r="N61" s="398"/>
      <c r="O61" s="398"/>
    </row>
    <row r="62" spans="2:15" x14ac:dyDescent="0.3">
      <c r="B62" s="396"/>
      <c r="C62" s="398"/>
      <c r="D62" s="398"/>
      <c r="E62" s="398"/>
      <c r="F62" s="398"/>
      <c r="G62" s="398"/>
      <c r="H62" s="398"/>
      <c r="I62" s="398"/>
      <c r="J62" s="398"/>
      <c r="K62" s="398"/>
      <c r="L62" s="398"/>
      <c r="M62" s="398"/>
      <c r="N62" s="398"/>
      <c r="O62" s="398"/>
    </row>
    <row r="63" spans="2:15" ht="14.4" x14ac:dyDescent="0.3">
      <c r="B63" s="396"/>
      <c r="C63" s="394"/>
      <c r="D63" s="398"/>
      <c r="E63" s="398"/>
      <c r="F63" s="398"/>
      <c r="G63" s="398"/>
      <c r="H63" s="398"/>
      <c r="I63" s="398"/>
      <c r="J63" s="398"/>
      <c r="K63" s="398"/>
      <c r="L63" s="398"/>
      <c r="M63" s="398"/>
      <c r="N63" s="398"/>
      <c r="O63" s="398"/>
    </row>
    <row r="64" spans="2:15" x14ac:dyDescent="0.3">
      <c r="B64" s="396"/>
      <c r="C64" s="398"/>
      <c r="D64" s="398"/>
      <c r="E64" s="398"/>
      <c r="F64" s="398"/>
      <c r="G64" s="398"/>
      <c r="H64" s="398"/>
      <c r="I64" s="398"/>
      <c r="J64" s="398"/>
      <c r="K64" s="398"/>
      <c r="L64" s="398"/>
      <c r="M64" s="398"/>
      <c r="N64" s="398"/>
      <c r="O64" s="398"/>
    </row>
    <row r="65" spans="2:15" x14ac:dyDescent="0.3">
      <c r="B65" s="396"/>
      <c r="C65" s="398"/>
      <c r="D65" s="398"/>
      <c r="E65" s="398"/>
      <c r="F65" s="398"/>
      <c r="G65" s="398"/>
      <c r="H65" s="398"/>
      <c r="I65" s="398"/>
      <c r="J65" s="398"/>
      <c r="K65" s="398"/>
      <c r="L65" s="398"/>
      <c r="M65" s="398"/>
      <c r="N65" s="398"/>
      <c r="O65" s="398"/>
    </row>
    <row r="66" spans="2:15" x14ac:dyDescent="0.3">
      <c r="B66" s="396"/>
      <c r="C66" s="398"/>
      <c r="D66" s="398"/>
      <c r="E66" s="398"/>
      <c r="F66" s="398"/>
      <c r="G66" s="398"/>
      <c r="H66" s="398"/>
      <c r="I66" s="398"/>
      <c r="J66" s="398"/>
      <c r="K66" s="398"/>
      <c r="L66" s="398"/>
      <c r="M66" s="398"/>
      <c r="N66" s="398"/>
      <c r="O66" s="398"/>
    </row>
    <row r="67" spans="2:15" x14ac:dyDescent="0.3">
      <c r="B67" s="396"/>
      <c r="C67" s="398"/>
      <c r="D67" s="398"/>
      <c r="E67" s="398"/>
      <c r="F67" s="398"/>
      <c r="G67" s="398"/>
      <c r="H67" s="398"/>
      <c r="I67" s="398"/>
      <c r="J67" s="398"/>
      <c r="K67" s="398"/>
      <c r="L67" s="398"/>
      <c r="M67" s="398"/>
      <c r="N67" s="398"/>
      <c r="O67" s="398"/>
    </row>
    <row r="68" spans="2:15" x14ac:dyDescent="0.3">
      <c r="B68" s="396"/>
      <c r="C68" s="398"/>
      <c r="D68" s="398"/>
      <c r="E68" s="398"/>
      <c r="F68" s="398"/>
      <c r="G68" s="398"/>
      <c r="H68" s="398"/>
      <c r="I68" s="398"/>
      <c r="J68" s="398"/>
      <c r="K68" s="398"/>
      <c r="L68" s="398"/>
      <c r="M68" s="398"/>
      <c r="N68" s="398"/>
      <c r="O68" s="398"/>
    </row>
    <row r="69" spans="2:15" x14ac:dyDescent="0.3">
      <c r="B69" s="396"/>
      <c r="C69" s="398"/>
      <c r="D69" s="398"/>
      <c r="E69" s="398"/>
      <c r="F69" s="398"/>
      <c r="G69" s="398"/>
      <c r="H69" s="398"/>
      <c r="I69" s="398"/>
      <c r="J69" s="398"/>
      <c r="K69" s="398"/>
      <c r="L69" s="398"/>
      <c r="M69" s="398"/>
      <c r="N69" s="398"/>
      <c r="O69" s="398"/>
    </row>
    <row r="70" spans="2:15" x14ac:dyDescent="0.3">
      <c r="B70" s="396"/>
      <c r="C70" s="398"/>
      <c r="D70" s="398"/>
      <c r="E70" s="398"/>
      <c r="F70" s="398"/>
      <c r="G70" s="398"/>
      <c r="H70" s="398"/>
      <c r="I70" s="398"/>
      <c r="J70" s="398"/>
      <c r="K70" s="398"/>
      <c r="L70" s="398"/>
      <c r="M70" s="398"/>
      <c r="N70" s="398"/>
      <c r="O70" s="398"/>
    </row>
    <row r="71" spans="2:15" x14ac:dyDescent="0.3">
      <c r="B71" s="396"/>
      <c r="C71" s="398"/>
      <c r="D71" s="398"/>
      <c r="E71" s="398"/>
      <c r="F71" s="398"/>
      <c r="G71" s="398"/>
      <c r="H71" s="398"/>
      <c r="I71" s="398"/>
      <c r="J71" s="398"/>
      <c r="K71" s="398"/>
      <c r="L71" s="398"/>
      <c r="M71" s="398"/>
      <c r="N71" s="398"/>
      <c r="O71" s="398"/>
    </row>
    <row r="72" spans="2:15" x14ac:dyDescent="0.3">
      <c r="B72" s="396"/>
      <c r="C72" s="398"/>
      <c r="D72" s="398"/>
      <c r="E72" s="398"/>
      <c r="F72" s="398"/>
      <c r="G72" s="398"/>
      <c r="H72" s="398"/>
      <c r="I72" s="398"/>
      <c r="J72" s="398"/>
      <c r="K72" s="398"/>
      <c r="L72" s="398"/>
      <c r="M72" s="398"/>
      <c r="N72" s="398"/>
      <c r="O72" s="398"/>
    </row>
    <row r="74" spans="2:15" x14ac:dyDescent="0.3">
      <c r="D74" s="381" t="s">
        <v>176</v>
      </c>
    </row>
    <row r="81" spans="10:14" x14ac:dyDescent="0.3">
      <c r="N81" s="381" t="s">
        <v>176</v>
      </c>
    </row>
    <row r="89" spans="10:14" x14ac:dyDescent="0.3">
      <c r="J89" s="381" t="s">
        <v>176</v>
      </c>
    </row>
  </sheetData>
  <pageMargins left="0.7" right="0.17" top="0.75" bottom="0.75" header="0.3" footer="0.3"/>
  <pageSetup scale="7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74840-810C-40C8-9297-940F2244178B}">
  <sheetPr>
    <tabColor rgb="FFFFFF00"/>
  </sheetPr>
  <dimension ref="A1:N165"/>
  <sheetViews>
    <sheetView zoomScaleNormal="100" workbookViewId="0">
      <pane xSplit="4" ySplit="4" topLeftCell="E58" activePane="bottomRight" state="frozen"/>
      <selection activeCell="N31" sqref="N31"/>
      <selection pane="topRight" activeCell="N31" sqref="N31"/>
      <selection pane="bottomLeft" activeCell="N31" sqref="N31"/>
      <selection pane="bottomRight" activeCell="P74" sqref="P74:P76"/>
    </sheetView>
  </sheetViews>
  <sheetFormatPr defaultRowHeight="14.4" x14ac:dyDescent="0.3"/>
  <cols>
    <col min="1" max="1" width="3.44140625" style="313" customWidth="1"/>
    <col min="2" max="2" width="26.88671875" style="313" customWidth="1"/>
    <col min="3" max="3" width="3.6640625" style="313" customWidth="1"/>
    <col min="4" max="4" width="16.6640625" style="313" customWidth="1"/>
    <col min="5" max="6" width="14.77734375" style="573" customWidth="1"/>
    <col min="7" max="7" width="14.77734375" style="573" hidden="1" customWidth="1"/>
    <col min="8" max="8" width="2.21875" style="574" customWidth="1"/>
    <col min="9" max="9" width="14.77734375" style="313" customWidth="1"/>
    <col min="10" max="10" width="8.88671875" style="677"/>
    <col min="11" max="11" width="5.44140625" style="574" customWidth="1"/>
    <col min="12" max="12" width="14.77734375" style="313" customWidth="1"/>
    <col min="13" max="13" width="8.88671875" style="677"/>
    <col min="14" max="14" width="8.88671875" style="574"/>
    <col min="15" max="248" width="8.88671875" style="313"/>
    <col min="249" max="249" width="3.44140625" style="313" customWidth="1"/>
    <col min="250" max="250" width="28.109375" style="313" customWidth="1"/>
    <col min="251" max="251" width="3.6640625" style="313" customWidth="1"/>
    <col min="252" max="252" width="20.5546875" style="313" customWidth="1"/>
    <col min="253" max="255" width="14.77734375" style="313" customWidth="1"/>
    <col min="256" max="259" width="0" style="313" hidden="1" customWidth="1"/>
    <col min="260" max="260" width="11.6640625" style="313" customWidth="1"/>
    <col min="261" max="261" width="3.77734375" style="313" customWidth="1"/>
    <col min="262" max="262" width="14.77734375" style="313" customWidth="1"/>
    <col min="263" max="263" width="8.88671875" style="313"/>
    <col min="264" max="264" width="7.33203125" style="313" customWidth="1"/>
    <col min="265" max="266" width="0" style="313" hidden="1" customWidth="1"/>
    <col min="267" max="267" width="14.77734375" style="313" customWidth="1"/>
    <col min="268" max="504" width="8.88671875" style="313"/>
    <col min="505" max="505" width="3.44140625" style="313" customWidth="1"/>
    <col min="506" max="506" width="28.109375" style="313" customWidth="1"/>
    <col min="507" max="507" width="3.6640625" style="313" customWidth="1"/>
    <col min="508" max="508" width="20.5546875" style="313" customWidth="1"/>
    <col min="509" max="511" width="14.77734375" style="313" customWidth="1"/>
    <col min="512" max="515" width="0" style="313" hidden="1" customWidth="1"/>
    <col min="516" max="516" width="11.6640625" style="313" customWidth="1"/>
    <col min="517" max="517" width="3.77734375" style="313" customWidth="1"/>
    <col min="518" max="518" width="14.77734375" style="313" customWidth="1"/>
    <col min="519" max="519" width="8.88671875" style="313"/>
    <col min="520" max="520" width="7.33203125" style="313" customWidth="1"/>
    <col min="521" max="522" width="0" style="313" hidden="1" customWidth="1"/>
    <col min="523" max="523" width="14.77734375" style="313" customWidth="1"/>
    <col min="524" max="760" width="8.88671875" style="313"/>
    <col min="761" max="761" width="3.44140625" style="313" customWidth="1"/>
    <col min="762" max="762" width="28.109375" style="313" customWidth="1"/>
    <col min="763" max="763" width="3.6640625" style="313" customWidth="1"/>
    <col min="764" max="764" width="20.5546875" style="313" customWidth="1"/>
    <col min="765" max="767" width="14.77734375" style="313" customWidth="1"/>
    <col min="768" max="771" width="0" style="313" hidden="1" customWidth="1"/>
    <col min="772" max="772" width="11.6640625" style="313" customWidth="1"/>
    <col min="773" max="773" width="3.77734375" style="313" customWidth="1"/>
    <col min="774" max="774" width="14.77734375" style="313" customWidth="1"/>
    <col min="775" max="775" width="8.88671875" style="313"/>
    <col min="776" max="776" width="7.33203125" style="313" customWidth="1"/>
    <col min="777" max="778" width="0" style="313" hidden="1" customWidth="1"/>
    <col min="779" max="779" width="14.77734375" style="313" customWidth="1"/>
    <col min="780" max="1016" width="8.88671875" style="313"/>
    <col min="1017" max="1017" width="3.44140625" style="313" customWidth="1"/>
    <col min="1018" max="1018" width="28.109375" style="313" customWidth="1"/>
    <col min="1019" max="1019" width="3.6640625" style="313" customWidth="1"/>
    <col min="1020" max="1020" width="20.5546875" style="313" customWidth="1"/>
    <col min="1021" max="1023" width="14.77734375" style="313" customWidth="1"/>
    <col min="1024" max="1027" width="0" style="313" hidden="1" customWidth="1"/>
    <col min="1028" max="1028" width="11.6640625" style="313" customWidth="1"/>
    <col min="1029" max="1029" width="3.77734375" style="313" customWidth="1"/>
    <col min="1030" max="1030" width="14.77734375" style="313" customWidth="1"/>
    <col min="1031" max="1031" width="8.88671875" style="313"/>
    <col min="1032" max="1032" width="7.33203125" style="313" customWidth="1"/>
    <col min="1033" max="1034" width="0" style="313" hidden="1" customWidth="1"/>
    <col min="1035" max="1035" width="14.77734375" style="313" customWidth="1"/>
    <col min="1036" max="1272" width="8.88671875" style="313"/>
    <col min="1273" max="1273" width="3.44140625" style="313" customWidth="1"/>
    <col min="1274" max="1274" width="28.109375" style="313" customWidth="1"/>
    <col min="1275" max="1275" width="3.6640625" style="313" customWidth="1"/>
    <col min="1276" max="1276" width="20.5546875" style="313" customWidth="1"/>
    <col min="1277" max="1279" width="14.77734375" style="313" customWidth="1"/>
    <col min="1280" max="1283" width="0" style="313" hidden="1" customWidth="1"/>
    <col min="1284" max="1284" width="11.6640625" style="313" customWidth="1"/>
    <col min="1285" max="1285" width="3.77734375" style="313" customWidth="1"/>
    <col min="1286" max="1286" width="14.77734375" style="313" customWidth="1"/>
    <col min="1287" max="1287" width="8.88671875" style="313"/>
    <col min="1288" max="1288" width="7.33203125" style="313" customWidth="1"/>
    <col min="1289" max="1290" width="0" style="313" hidden="1" customWidth="1"/>
    <col min="1291" max="1291" width="14.77734375" style="313" customWidth="1"/>
    <col min="1292" max="1528" width="8.88671875" style="313"/>
    <col min="1529" max="1529" width="3.44140625" style="313" customWidth="1"/>
    <col min="1530" max="1530" width="28.109375" style="313" customWidth="1"/>
    <col min="1531" max="1531" width="3.6640625" style="313" customWidth="1"/>
    <col min="1532" max="1532" width="20.5546875" style="313" customWidth="1"/>
    <col min="1533" max="1535" width="14.77734375" style="313" customWidth="1"/>
    <col min="1536" max="1539" width="0" style="313" hidden="1" customWidth="1"/>
    <col min="1540" max="1540" width="11.6640625" style="313" customWidth="1"/>
    <col min="1541" max="1541" width="3.77734375" style="313" customWidth="1"/>
    <col min="1542" max="1542" width="14.77734375" style="313" customWidth="1"/>
    <col min="1543" max="1543" width="8.88671875" style="313"/>
    <col min="1544" max="1544" width="7.33203125" style="313" customWidth="1"/>
    <col min="1545" max="1546" width="0" style="313" hidden="1" customWidth="1"/>
    <col min="1547" max="1547" width="14.77734375" style="313" customWidth="1"/>
    <col min="1548" max="1784" width="8.88671875" style="313"/>
    <col min="1785" max="1785" width="3.44140625" style="313" customWidth="1"/>
    <col min="1786" max="1786" width="28.109375" style="313" customWidth="1"/>
    <col min="1787" max="1787" width="3.6640625" style="313" customWidth="1"/>
    <col min="1788" max="1788" width="20.5546875" style="313" customWidth="1"/>
    <col min="1789" max="1791" width="14.77734375" style="313" customWidth="1"/>
    <col min="1792" max="1795" width="0" style="313" hidden="1" customWidth="1"/>
    <col min="1796" max="1796" width="11.6640625" style="313" customWidth="1"/>
    <col min="1797" max="1797" width="3.77734375" style="313" customWidth="1"/>
    <col min="1798" max="1798" width="14.77734375" style="313" customWidth="1"/>
    <col min="1799" max="1799" width="8.88671875" style="313"/>
    <col min="1800" max="1800" width="7.33203125" style="313" customWidth="1"/>
    <col min="1801" max="1802" width="0" style="313" hidden="1" customWidth="1"/>
    <col min="1803" max="1803" width="14.77734375" style="313" customWidth="1"/>
    <col min="1804" max="2040" width="8.88671875" style="313"/>
    <col min="2041" max="2041" width="3.44140625" style="313" customWidth="1"/>
    <col min="2042" max="2042" width="28.109375" style="313" customWidth="1"/>
    <col min="2043" max="2043" width="3.6640625" style="313" customWidth="1"/>
    <col min="2044" max="2044" width="20.5546875" style="313" customWidth="1"/>
    <col min="2045" max="2047" width="14.77734375" style="313" customWidth="1"/>
    <col min="2048" max="2051" width="0" style="313" hidden="1" customWidth="1"/>
    <col min="2052" max="2052" width="11.6640625" style="313" customWidth="1"/>
    <col min="2053" max="2053" width="3.77734375" style="313" customWidth="1"/>
    <col min="2054" max="2054" width="14.77734375" style="313" customWidth="1"/>
    <col min="2055" max="2055" width="8.88671875" style="313"/>
    <col min="2056" max="2056" width="7.33203125" style="313" customWidth="1"/>
    <col min="2057" max="2058" width="0" style="313" hidden="1" customWidth="1"/>
    <col min="2059" max="2059" width="14.77734375" style="313" customWidth="1"/>
    <col min="2060" max="2296" width="8.88671875" style="313"/>
    <col min="2297" max="2297" width="3.44140625" style="313" customWidth="1"/>
    <col min="2298" max="2298" width="28.109375" style="313" customWidth="1"/>
    <col min="2299" max="2299" width="3.6640625" style="313" customWidth="1"/>
    <col min="2300" max="2300" width="20.5546875" style="313" customWidth="1"/>
    <col min="2301" max="2303" width="14.77734375" style="313" customWidth="1"/>
    <col min="2304" max="2307" width="0" style="313" hidden="1" customWidth="1"/>
    <col min="2308" max="2308" width="11.6640625" style="313" customWidth="1"/>
    <col min="2309" max="2309" width="3.77734375" style="313" customWidth="1"/>
    <col min="2310" max="2310" width="14.77734375" style="313" customWidth="1"/>
    <col min="2311" max="2311" width="8.88671875" style="313"/>
    <col min="2312" max="2312" width="7.33203125" style="313" customWidth="1"/>
    <col min="2313" max="2314" width="0" style="313" hidden="1" customWidth="1"/>
    <col min="2315" max="2315" width="14.77734375" style="313" customWidth="1"/>
    <col min="2316" max="2552" width="8.88671875" style="313"/>
    <col min="2553" max="2553" width="3.44140625" style="313" customWidth="1"/>
    <col min="2554" max="2554" width="28.109375" style="313" customWidth="1"/>
    <col min="2555" max="2555" width="3.6640625" style="313" customWidth="1"/>
    <col min="2556" max="2556" width="20.5546875" style="313" customWidth="1"/>
    <col min="2557" max="2559" width="14.77734375" style="313" customWidth="1"/>
    <col min="2560" max="2563" width="0" style="313" hidden="1" customWidth="1"/>
    <col min="2564" max="2564" width="11.6640625" style="313" customWidth="1"/>
    <col min="2565" max="2565" width="3.77734375" style="313" customWidth="1"/>
    <col min="2566" max="2566" width="14.77734375" style="313" customWidth="1"/>
    <col min="2567" max="2567" width="8.88671875" style="313"/>
    <col min="2568" max="2568" width="7.33203125" style="313" customWidth="1"/>
    <col min="2569" max="2570" width="0" style="313" hidden="1" customWidth="1"/>
    <col min="2571" max="2571" width="14.77734375" style="313" customWidth="1"/>
    <col min="2572" max="2808" width="8.88671875" style="313"/>
    <col min="2809" max="2809" width="3.44140625" style="313" customWidth="1"/>
    <col min="2810" max="2810" width="28.109375" style="313" customWidth="1"/>
    <col min="2811" max="2811" width="3.6640625" style="313" customWidth="1"/>
    <col min="2812" max="2812" width="20.5546875" style="313" customWidth="1"/>
    <col min="2813" max="2815" width="14.77734375" style="313" customWidth="1"/>
    <col min="2816" max="2819" width="0" style="313" hidden="1" customWidth="1"/>
    <col min="2820" max="2820" width="11.6640625" style="313" customWidth="1"/>
    <col min="2821" max="2821" width="3.77734375" style="313" customWidth="1"/>
    <col min="2822" max="2822" width="14.77734375" style="313" customWidth="1"/>
    <col min="2823" max="2823" width="8.88671875" style="313"/>
    <col min="2824" max="2824" width="7.33203125" style="313" customWidth="1"/>
    <col min="2825" max="2826" width="0" style="313" hidden="1" customWidth="1"/>
    <col min="2827" max="2827" width="14.77734375" style="313" customWidth="1"/>
    <col min="2828" max="3064" width="8.88671875" style="313"/>
    <col min="3065" max="3065" width="3.44140625" style="313" customWidth="1"/>
    <col min="3066" max="3066" width="28.109375" style="313" customWidth="1"/>
    <col min="3067" max="3067" width="3.6640625" style="313" customWidth="1"/>
    <col min="3068" max="3068" width="20.5546875" style="313" customWidth="1"/>
    <col min="3069" max="3071" width="14.77734375" style="313" customWidth="1"/>
    <col min="3072" max="3075" width="0" style="313" hidden="1" customWidth="1"/>
    <col min="3076" max="3076" width="11.6640625" style="313" customWidth="1"/>
    <col min="3077" max="3077" width="3.77734375" style="313" customWidth="1"/>
    <col min="3078" max="3078" width="14.77734375" style="313" customWidth="1"/>
    <col min="3079" max="3079" width="8.88671875" style="313"/>
    <col min="3080" max="3080" width="7.33203125" style="313" customWidth="1"/>
    <col min="3081" max="3082" width="0" style="313" hidden="1" customWidth="1"/>
    <col min="3083" max="3083" width="14.77734375" style="313" customWidth="1"/>
    <col min="3084" max="3320" width="8.88671875" style="313"/>
    <col min="3321" max="3321" width="3.44140625" style="313" customWidth="1"/>
    <col min="3322" max="3322" width="28.109375" style="313" customWidth="1"/>
    <col min="3323" max="3323" width="3.6640625" style="313" customWidth="1"/>
    <col min="3324" max="3324" width="20.5546875" style="313" customWidth="1"/>
    <col min="3325" max="3327" width="14.77734375" style="313" customWidth="1"/>
    <col min="3328" max="3331" width="0" style="313" hidden="1" customWidth="1"/>
    <col min="3332" max="3332" width="11.6640625" style="313" customWidth="1"/>
    <col min="3333" max="3333" width="3.77734375" style="313" customWidth="1"/>
    <col min="3334" max="3334" width="14.77734375" style="313" customWidth="1"/>
    <col min="3335" max="3335" width="8.88671875" style="313"/>
    <col min="3336" max="3336" width="7.33203125" style="313" customWidth="1"/>
    <col min="3337" max="3338" width="0" style="313" hidden="1" customWidth="1"/>
    <col min="3339" max="3339" width="14.77734375" style="313" customWidth="1"/>
    <col min="3340" max="3576" width="8.88671875" style="313"/>
    <col min="3577" max="3577" width="3.44140625" style="313" customWidth="1"/>
    <col min="3578" max="3578" width="28.109375" style="313" customWidth="1"/>
    <col min="3579" max="3579" width="3.6640625" style="313" customWidth="1"/>
    <col min="3580" max="3580" width="20.5546875" style="313" customWidth="1"/>
    <col min="3581" max="3583" width="14.77734375" style="313" customWidth="1"/>
    <col min="3584" max="3587" width="0" style="313" hidden="1" customWidth="1"/>
    <col min="3588" max="3588" width="11.6640625" style="313" customWidth="1"/>
    <col min="3589" max="3589" width="3.77734375" style="313" customWidth="1"/>
    <col min="3590" max="3590" width="14.77734375" style="313" customWidth="1"/>
    <col min="3591" max="3591" width="8.88671875" style="313"/>
    <col min="3592" max="3592" width="7.33203125" style="313" customWidth="1"/>
    <col min="3593" max="3594" width="0" style="313" hidden="1" customWidth="1"/>
    <col min="3595" max="3595" width="14.77734375" style="313" customWidth="1"/>
    <col min="3596" max="3832" width="8.88671875" style="313"/>
    <col min="3833" max="3833" width="3.44140625" style="313" customWidth="1"/>
    <col min="3834" max="3834" width="28.109375" style="313" customWidth="1"/>
    <col min="3835" max="3835" width="3.6640625" style="313" customWidth="1"/>
    <col min="3836" max="3836" width="20.5546875" style="313" customWidth="1"/>
    <col min="3837" max="3839" width="14.77734375" style="313" customWidth="1"/>
    <col min="3840" max="3843" width="0" style="313" hidden="1" customWidth="1"/>
    <col min="3844" max="3844" width="11.6640625" style="313" customWidth="1"/>
    <col min="3845" max="3845" width="3.77734375" style="313" customWidth="1"/>
    <col min="3846" max="3846" width="14.77734375" style="313" customWidth="1"/>
    <col min="3847" max="3847" width="8.88671875" style="313"/>
    <col min="3848" max="3848" width="7.33203125" style="313" customWidth="1"/>
    <col min="3849" max="3850" width="0" style="313" hidden="1" customWidth="1"/>
    <col min="3851" max="3851" width="14.77734375" style="313" customWidth="1"/>
    <col min="3852" max="4088" width="8.88671875" style="313"/>
    <col min="4089" max="4089" width="3.44140625" style="313" customWidth="1"/>
    <col min="4090" max="4090" width="28.109375" style="313" customWidth="1"/>
    <col min="4091" max="4091" width="3.6640625" style="313" customWidth="1"/>
    <col min="4092" max="4092" width="20.5546875" style="313" customWidth="1"/>
    <col min="4093" max="4095" width="14.77734375" style="313" customWidth="1"/>
    <col min="4096" max="4099" width="0" style="313" hidden="1" customWidth="1"/>
    <col min="4100" max="4100" width="11.6640625" style="313" customWidth="1"/>
    <col min="4101" max="4101" width="3.77734375" style="313" customWidth="1"/>
    <col min="4102" max="4102" width="14.77734375" style="313" customWidth="1"/>
    <col min="4103" max="4103" width="8.88671875" style="313"/>
    <col min="4104" max="4104" width="7.33203125" style="313" customWidth="1"/>
    <col min="4105" max="4106" width="0" style="313" hidden="1" customWidth="1"/>
    <col min="4107" max="4107" width="14.77734375" style="313" customWidth="1"/>
    <col min="4108" max="4344" width="8.88671875" style="313"/>
    <col min="4345" max="4345" width="3.44140625" style="313" customWidth="1"/>
    <col min="4346" max="4346" width="28.109375" style="313" customWidth="1"/>
    <col min="4347" max="4347" width="3.6640625" style="313" customWidth="1"/>
    <col min="4348" max="4348" width="20.5546875" style="313" customWidth="1"/>
    <col min="4349" max="4351" width="14.77734375" style="313" customWidth="1"/>
    <col min="4352" max="4355" width="0" style="313" hidden="1" customWidth="1"/>
    <col min="4356" max="4356" width="11.6640625" style="313" customWidth="1"/>
    <col min="4357" max="4357" width="3.77734375" style="313" customWidth="1"/>
    <col min="4358" max="4358" width="14.77734375" style="313" customWidth="1"/>
    <col min="4359" max="4359" width="8.88671875" style="313"/>
    <col min="4360" max="4360" width="7.33203125" style="313" customWidth="1"/>
    <col min="4361" max="4362" width="0" style="313" hidden="1" customWidth="1"/>
    <col min="4363" max="4363" width="14.77734375" style="313" customWidth="1"/>
    <col min="4364" max="4600" width="8.88671875" style="313"/>
    <col min="4601" max="4601" width="3.44140625" style="313" customWidth="1"/>
    <col min="4602" max="4602" width="28.109375" style="313" customWidth="1"/>
    <col min="4603" max="4603" width="3.6640625" style="313" customWidth="1"/>
    <col min="4604" max="4604" width="20.5546875" style="313" customWidth="1"/>
    <col min="4605" max="4607" width="14.77734375" style="313" customWidth="1"/>
    <col min="4608" max="4611" width="0" style="313" hidden="1" customWidth="1"/>
    <col min="4612" max="4612" width="11.6640625" style="313" customWidth="1"/>
    <col min="4613" max="4613" width="3.77734375" style="313" customWidth="1"/>
    <col min="4614" max="4614" width="14.77734375" style="313" customWidth="1"/>
    <col min="4615" max="4615" width="8.88671875" style="313"/>
    <col min="4616" max="4616" width="7.33203125" style="313" customWidth="1"/>
    <col min="4617" max="4618" width="0" style="313" hidden="1" customWidth="1"/>
    <col min="4619" max="4619" width="14.77734375" style="313" customWidth="1"/>
    <col min="4620" max="4856" width="8.88671875" style="313"/>
    <col min="4857" max="4857" width="3.44140625" style="313" customWidth="1"/>
    <col min="4858" max="4858" width="28.109375" style="313" customWidth="1"/>
    <col min="4859" max="4859" width="3.6640625" style="313" customWidth="1"/>
    <col min="4860" max="4860" width="20.5546875" style="313" customWidth="1"/>
    <col min="4861" max="4863" width="14.77734375" style="313" customWidth="1"/>
    <col min="4864" max="4867" width="0" style="313" hidden="1" customWidth="1"/>
    <col min="4868" max="4868" width="11.6640625" style="313" customWidth="1"/>
    <col min="4869" max="4869" width="3.77734375" style="313" customWidth="1"/>
    <col min="4870" max="4870" width="14.77734375" style="313" customWidth="1"/>
    <col min="4871" max="4871" width="8.88671875" style="313"/>
    <col min="4872" max="4872" width="7.33203125" style="313" customWidth="1"/>
    <col min="4873" max="4874" width="0" style="313" hidden="1" customWidth="1"/>
    <col min="4875" max="4875" width="14.77734375" style="313" customWidth="1"/>
    <col min="4876" max="5112" width="8.88671875" style="313"/>
    <col min="5113" max="5113" width="3.44140625" style="313" customWidth="1"/>
    <col min="5114" max="5114" width="28.109375" style="313" customWidth="1"/>
    <col min="5115" max="5115" width="3.6640625" style="313" customWidth="1"/>
    <col min="5116" max="5116" width="20.5546875" style="313" customWidth="1"/>
    <col min="5117" max="5119" width="14.77734375" style="313" customWidth="1"/>
    <col min="5120" max="5123" width="0" style="313" hidden="1" customWidth="1"/>
    <col min="5124" max="5124" width="11.6640625" style="313" customWidth="1"/>
    <col min="5125" max="5125" width="3.77734375" style="313" customWidth="1"/>
    <col min="5126" max="5126" width="14.77734375" style="313" customWidth="1"/>
    <col min="5127" max="5127" width="8.88671875" style="313"/>
    <col min="5128" max="5128" width="7.33203125" style="313" customWidth="1"/>
    <col min="5129" max="5130" width="0" style="313" hidden="1" customWidth="1"/>
    <col min="5131" max="5131" width="14.77734375" style="313" customWidth="1"/>
    <col min="5132" max="5368" width="8.88671875" style="313"/>
    <col min="5369" max="5369" width="3.44140625" style="313" customWidth="1"/>
    <col min="5370" max="5370" width="28.109375" style="313" customWidth="1"/>
    <col min="5371" max="5371" width="3.6640625" style="313" customWidth="1"/>
    <col min="5372" max="5372" width="20.5546875" style="313" customWidth="1"/>
    <col min="5373" max="5375" width="14.77734375" style="313" customWidth="1"/>
    <col min="5376" max="5379" width="0" style="313" hidden="1" customWidth="1"/>
    <col min="5380" max="5380" width="11.6640625" style="313" customWidth="1"/>
    <col min="5381" max="5381" width="3.77734375" style="313" customWidth="1"/>
    <col min="5382" max="5382" width="14.77734375" style="313" customWidth="1"/>
    <col min="5383" max="5383" width="8.88671875" style="313"/>
    <col min="5384" max="5384" width="7.33203125" style="313" customWidth="1"/>
    <col min="5385" max="5386" width="0" style="313" hidden="1" customWidth="1"/>
    <col min="5387" max="5387" width="14.77734375" style="313" customWidth="1"/>
    <col min="5388" max="5624" width="8.88671875" style="313"/>
    <col min="5625" max="5625" width="3.44140625" style="313" customWidth="1"/>
    <col min="5626" max="5626" width="28.109375" style="313" customWidth="1"/>
    <col min="5627" max="5627" width="3.6640625" style="313" customWidth="1"/>
    <col min="5628" max="5628" width="20.5546875" style="313" customWidth="1"/>
    <col min="5629" max="5631" width="14.77734375" style="313" customWidth="1"/>
    <col min="5632" max="5635" width="0" style="313" hidden="1" customWidth="1"/>
    <col min="5636" max="5636" width="11.6640625" style="313" customWidth="1"/>
    <col min="5637" max="5637" width="3.77734375" style="313" customWidth="1"/>
    <col min="5638" max="5638" width="14.77734375" style="313" customWidth="1"/>
    <col min="5639" max="5639" width="8.88671875" style="313"/>
    <col min="5640" max="5640" width="7.33203125" style="313" customWidth="1"/>
    <col min="5641" max="5642" width="0" style="313" hidden="1" customWidth="1"/>
    <col min="5643" max="5643" width="14.77734375" style="313" customWidth="1"/>
    <col min="5644" max="5880" width="8.88671875" style="313"/>
    <col min="5881" max="5881" width="3.44140625" style="313" customWidth="1"/>
    <col min="5882" max="5882" width="28.109375" style="313" customWidth="1"/>
    <col min="5883" max="5883" width="3.6640625" style="313" customWidth="1"/>
    <col min="5884" max="5884" width="20.5546875" style="313" customWidth="1"/>
    <col min="5885" max="5887" width="14.77734375" style="313" customWidth="1"/>
    <col min="5888" max="5891" width="0" style="313" hidden="1" customWidth="1"/>
    <col min="5892" max="5892" width="11.6640625" style="313" customWidth="1"/>
    <col min="5893" max="5893" width="3.77734375" style="313" customWidth="1"/>
    <col min="5894" max="5894" width="14.77734375" style="313" customWidth="1"/>
    <col min="5895" max="5895" width="8.88671875" style="313"/>
    <col min="5896" max="5896" width="7.33203125" style="313" customWidth="1"/>
    <col min="5897" max="5898" width="0" style="313" hidden="1" customWidth="1"/>
    <col min="5899" max="5899" width="14.77734375" style="313" customWidth="1"/>
    <col min="5900" max="6136" width="8.88671875" style="313"/>
    <col min="6137" max="6137" width="3.44140625" style="313" customWidth="1"/>
    <col min="6138" max="6138" width="28.109375" style="313" customWidth="1"/>
    <col min="6139" max="6139" width="3.6640625" style="313" customWidth="1"/>
    <col min="6140" max="6140" width="20.5546875" style="313" customWidth="1"/>
    <col min="6141" max="6143" width="14.77734375" style="313" customWidth="1"/>
    <col min="6144" max="6147" width="0" style="313" hidden="1" customWidth="1"/>
    <col min="6148" max="6148" width="11.6640625" style="313" customWidth="1"/>
    <col min="6149" max="6149" width="3.77734375" style="313" customWidth="1"/>
    <col min="6150" max="6150" width="14.77734375" style="313" customWidth="1"/>
    <col min="6151" max="6151" width="8.88671875" style="313"/>
    <col min="6152" max="6152" width="7.33203125" style="313" customWidth="1"/>
    <col min="6153" max="6154" width="0" style="313" hidden="1" customWidth="1"/>
    <col min="6155" max="6155" width="14.77734375" style="313" customWidth="1"/>
    <col min="6156" max="6392" width="8.88671875" style="313"/>
    <col min="6393" max="6393" width="3.44140625" style="313" customWidth="1"/>
    <col min="6394" max="6394" width="28.109375" style="313" customWidth="1"/>
    <col min="6395" max="6395" width="3.6640625" style="313" customWidth="1"/>
    <col min="6396" max="6396" width="20.5546875" style="313" customWidth="1"/>
    <col min="6397" max="6399" width="14.77734375" style="313" customWidth="1"/>
    <col min="6400" max="6403" width="0" style="313" hidden="1" customWidth="1"/>
    <col min="6404" max="6404" width="11.6640625" style="313" customWidth="1"/>
    <col min="6405" max="6405" width="3.77734375" style="313" customWidth="1"/>
    <col min="6406" max="6406" width="14.77734375" style="313" customWidth="1"/>
    <col min="6407" max="6407" width="8.88671875" style="313"/>
    <col min="6408" max="6408" width="7.33203125" style="313" customWidth="1"/>
    <col min="6409" max="6410" width="0" style="313" hidden="1" customWidth="1"/>
    <col min="6411" max="6411" width="14.77734375" style="313" customWidth="1"/>
    <col min="6412" max="6648" width="8.88671875" style="313"/>
    <col min="6649" max="6649" width="3.44140625" style="313" customWidth="1"/>
    <col min="6650" max="6650" width="28.109375" style="313" customWidth="1"/>
    <col min="6651" max="6651" width="3.6640625" style="313" customWidth="1"/>
    <col min="6652" max="6652" width="20.5546875" style="313" customWidth="1"/>
    <col min="6653" max="6655" width="14.77734375" style="313" customWidth="1"/>
    <col min="6656" max="6659" width="0" style="313" hidden="1" customWidth="1"/>
    <col min="6660" max="6660" width="11.6640625" style="313" customWidth="1"/>
    <col min="6661" max="6661" width="3.77734375" style="313" customWidth="1"/>
    <col min="6662" max="6662" width="14.77734375" style="313" customWidth="1"/>
    <col min="6663" max="6663" width="8.88671875" style="313"/>
    <col min="6664" max="6664" width="7.33203125" style="313" customWidth="1"/>
    <col min="6665" max="6666" width="0" style="313" hidden="1" customWidth="1"/>
    <col min="6667" max="6667" width="14.77734375" style="313" customWidth="1"/>
    <col min="6668" max="6904" width="8.88671875" style="313"/>
    <col min="6905" max="6905" width="3.44140625" style="313" customWidth="1"/>
    <col min="6906" max="6906" width="28.109375" style="313" customWidth="1"/>
    <col min="6907" max="6907" width="3.6640625" style="313" customWidth="1"/>
    <col min="6908" max="6908" width="20.5546875" style="313" customWidth="1"/>
    <col min="6909" max="6911" width="14.77734375" style="313" customWidth="1"/>
    <col min="6912" max="6915" width="0" style="313" hidden="1" customWidth="1"/>
    <col min="6916" max="6916" width="11.6640625" style="313" customWidth="1"/>
    <col min="6917" max="6917" width="3.77734375" style="313" customWidth="1"/>
    <col min="6918" max="6918" width="14.77734375" style="313" customWidth="1"/>
    <col min="6919" max="6919" width="8.88671875" style="313"/>
    <col min="6920" max="6920" width="7.33203125" style="313" customWidth="1"/>
    <col min="6921" max="6922" width="0" style="313" hidden="1" customWidth="1"/>
    <col min="6923" max="6923" width="14.77734375" style="313" customWidth="1"/>
    <col min="6924" max="7160" width="8.88671875" style="313"/>
    <col min="7161" max="7161" width="3.44140625" style="313" customWidth="1"/>
    <col min="7162" max="7162" width="28.109375" style="313" customWidth="1"/>
    <col min="7163" max="7163" width="3.6640625" style="313" customWidth="1"/>
    <col min="7164" max="7164" width="20.5546875" style="313" customWidth="1"/>
    <col min="7165" max="7167" width="14.77734375" style="313" customWidth="1"/>
    <col min="7168" max="7171" width="0" style="313" hidden="1" customWidth="1"/>
    <col min="7172" max="7172" width="11.6640625" style="313" customWidth="1"/>
    <col min="7173" max="7173" width="3.77734375" style="313" customWidth="1"/>
    <col min="7174" max="7174" width="14.77734375" style="313" customWidth="1"/>
    <col min="7175" max="7175" width="8.88671875" style="313"/>
    <col min="7176" max="7176" width="7.33203125" style="313" customWidth="1"/>
    <col min="7177" max="7178" width="0" style="313" hidden="1" customWidth="1"/>
    <col min="7179" max="7179" width="14.77734375" style="313" customWidth="1"/>
    <col min="7180" max="7416" width="8.88671875" style="313"/>
    <col min="7417" max="7417" width="3.44140625" style="313" customWidth="1"/>
    <col min="7418" max="7418" width="28.109375" style="313" customWidth="1"/>
    <col min="7419" max="7419" width="3.6640625" style="313" customWidth="1"/>
    <col min="7420" max="7420" width="20.5546875" style="313" customWidth="1"/>
    <col min="7421" max="7423" width="14.77734375" style="313" customWidth="1"/>
    <col min="7424" max="7427" width="0" style="313" hidden="1" customWidth="1"/>
    <col min="7428" max="7428" width="11.6640625" style="313" customWidth="1"/>
    <col min="7429" max="7429" width="3.77734375" style="313" customWidth="1"/>
    <col min="7430" max="7430" width="14.77734375" style="313" customWidth="1"/>
    <col min="7431" max="7431" width="8.88671875" style="313"/>
    <col min="7432" max="7432" width="7.33203125" style="313" customWidth="1"/>
    <col min="7433" max="7434" width="0" style="313" hidden="1" customWidth="1"/>
    <col min="7435" max="7435" width="14.77734375" style="313" customWidth="1"/>
    <col min="7436" max="7672" width="8.88671875" style="313"/>
    <col min="7673" max="7673" width="3.44140625" style="313" customWidth="1"/>
    <col min="7674" max="7674" width="28.109375" style="313" customWidth="1"/>
    <col min="7675" max="7675" width="3.6640625" style="313" customWidth="1"/>
    <col min="7676" max="7676" width="20.5546875" style="313" customWidth="1"/>
    <col min="7677" max="7679" width="14.77734375" style="313" customWidth="1"/>
    <col min="7680" max="7683" width="0" style="313" hidden="1" customWidth="1"/>
    <col min="7684" max="7684" width="11.6640625" style="313" customWidth="1"/>
    <col min="7685" max="7685" width="3.77734375" style="313" customWidth="1"/>
    <col min="7686" max="7686" width="14.77734375" style="313" customWidth="1"/>
    <col min="7687" max="7687" width="8.88671875" style="313"/>
    <col min="7688" max="7688" width="7.33203125" style="313" customWidth="1"/>
    <col min="7689" max="7690" width="0" style="313" hidden="1" customWidth="1"/>
    <col min="7691" max="7691" width="14.77734375" style="313" customWidth="1"/>
    <col min="7692" max="7928" width="8.88671875" style="313"/>
    <col min="7929" max="7929" width="3.44140625" style="313" customWidth="1"/>
    <col min="7930" max="7930" width="28.109375" style="313" customWidth="1"/>
    <col min="7931" max="7931" width="3.6640625" style="313" customWidth="1"/>
    <col min="7932" max="7932" width="20.5546875" style="313" customWidth="1"/>
    <col min="7933" max="7935" width="14.77734375" style="313" customWidth="1"/>
    <col min="7936" max="7939" width="0" style="313" hidden="1" customWidth="1"/>
    <col min="7940" max="7940" width="11.6640625" style="313" customWidth="1"/>
    <col min="7941" max="7941" width="3.77734375" style="313" customWidth="1"/>
    <col min="7942" max="7942" width="14.77734375" style="313" customWidth="1"/>
    <col min="7943" max="7943" width="8.88671875" style="313"/>
    <col min="7944" max="7944" width="7.33203125" style="313" customWidth="1"/>
    <col min="7945" max="7946" width="0" style="313" hidden="1" customWidth="1"/>
    <col min="7947" max="7947" width="14.77734375" style="313" customWidth="1"/>
    <col min="7948" max="8184" width="8.88671875" style="313"/>
    <col min="8185" max="8185" width="3.44140625" style="313" customWidth="1"/>
    <col min="8186" max="8186" width="28.109375" style="313" customWidth="1"/>
    <col min="8187" max="8187" width="3.6640625" style="313" customWidth="1"/>
    <col min="8188" max="8188" width="20.5546875" style="313" customWidth="1"/>
    <col min="8189" max="8191" width="14.77734375" style="313" customWidth="1"/>
    <col min="8192" max="8195" width="0" style="313" hidden="1" customWidth="1"/>
    <col min="8196" max="8196" width="11.6640625" style="313" customWidth="1"/>
    <col min="8197" max="8197" width="3.77734375" style="313" customWidth="1"/>
    <col min="8198" max="8198" width="14.77734375" style="313" customWidth="1"/>
    <col min="8199" max="8199" width="8.88671875" style="313"/>
    <col min="8200" max="8200" width="7.33203125" style="313" customWidth="1"/>
    <col min="8201" max="8202" width="0" style="313" hidden="1" customWidth="1"/>
    <col min="8203" max="8203" width="14.77734375" style="313" customWidth="1"/>
    <col min="8204" max="8440" width="8.88671875" style="313"/>
    <col min="8441" max="8441" width="3.44140625" style="313" customWidth="1"/>
    <col min="8442" max="8442" width="28.109375" style="313" customWidth="1"/>
    <col min="8443" max="8443" width="3.6640625" style="313" customWidth="1"/>
    <col min="8444" max="8444" width="20.5546875" style="313" customWidth="1"/>
    <col min="8445" max="8447" width="14.77734375" style="313" customWidth="1"/>
    <col min="8448" max="8451" width="0" style="313" hidden="1" customWidth="1"/>
    <col min="8452" max="8452" width="11.6640625" style="313" customWidth="1"/>
    <col min="8453" max="8453" width="3.77734375" style="313" customWidth="1"/>
    <col min="8454" max="8454" width="14.77734375" style="313" customWidth="1"/>
    <col min="8455" max="8455" width="8.88671875" style="313"/>
    <col min="8456" max="8456" width="7.33203125" style="313" customWidth="1"/>
    <col min="8457" max="8458" width="0" style="313" hidden="1" customWidth="1"/>
    <col min="8459" max="8459" width="14.77734375" style="313" customWidth="1"/>
    <col min="8460" max="8696" width="8.88671875" style="313"/>
    <col min="8697" max="8697" width="3.44140625" style="313" customWidth="1"/>
    <col min="8698" max="8698" width="28.109375" style="313" customWidth="1"/>
    <col min="8699" max="8699" width="3.6640625" style="313" customWidth="1"/>
    <col min="8700" max="8700" width="20.5546875" style="313" customWidth="1"/>
    <col min="8701" max="8703" width="14.77734375" style="313" customWidth="1"/>
    <col min="8704" max="8707" width="0" style="313" hidden="1" customWidth="1"/>
    <col min="8708" max="8708" width="11.6640625" style="313" customWidth="1"/>
    <col min="8709" max="8709" width="3.77734375" style="313" customWidth="1"/>
    <col min="8710" max="8710" width="14.77734375" style="313" customWidth="1"/>
    <col min="8711" max="8711" width="8.88671875" style="313"/>
    <col min="8712" max="8712" width="7.33203125" style="313" customWidth="1"/>
    <col min="8713" max="8714" width="0" style="313" hidden="1" customWidth="1"/>
    <col min="8715" max="8715" width="14.77734375" style="313" customWidth="1"/>
    <col min="8716" max="8952" width="8.88671875" style="313"/>
    <col min="8953" max="8953" width="3.44140625" style="313" customWidth="1"/>
    <col min="8954" max="8954" width="28.109375" style="313" customWidth="1"/>
    <col min="8955" max="8955" width="3.6640625" style="313" customWidth="1"/>
    <col min="8956" max="8956" width="20.5546875" style="313" customWidth="1"/>
    <col min="8957" max="8959" width="14.77734375" style="313" customWidth="1"/>
    <col min="8960" max="8963" width="0" style="313" hidden="1" customWidth="1"/>
    <col min="8964" max="8964" width="11.6640625" style="313" customWidth="1"/>
    <col min="8965" max="8965" width="3.77734375" style="313" customWidth="1"/>
    <col min="8966" max="8966" width="14.77734375" style="313" customWidth="1"/>
    <col min="8967" max="8967" width="8.88671875" style="313"/>
    <col min="8968" max="8968" width="7.33203125" style="313" customWidth="1"/>
    <col min="8969" max="8970" width="0" style="313" hidden="1" customWidth="1"/>
    <col min="8971" max="8971" width="14.77734375" style="313" customWidth="1"/>
    <col min="8972" max="9208" width="8.88671875" style="313"/>
    <col min="9209" max="9209" width="3.44140625" style="313" customWidth="1"/>
    <col min="9210" max="9210" width="28.109375" style="313" customWidth="1"/>
    <col min="9211" max="9211" width="3.6640625" style="313" customWidth="1"/>
    <col min="9212" max="9212" width="20.5546875" style="313" customWidth="1"/>
    <col min="9213" max="9215" width="14.77734375" style="313" customWidth="1"/>
    <col min="9216" max="9219" width="0" style="313" hidden="1" customWidth="1"/>
    <col min="9220" max="9220" width="11.6640625" style="313" customWidth="1"/>
    <col min="9221" max="9221" width="3.77734375" style="313" customWidth="1"/>
    <col min="9222" max="9222" width="14.77734375" style="313" customWidth="1"/>
    <col min="9223" max="9223" width="8.88671875" style="313"/>
    <col min="9224" max="9224" width="7.33203125" style="313" customWidth="1"/>
    <col min="9225" max="9226" width="0" style="313" hidden="1" customWidth="1"/>
    <col min="9227" max="9227" width="14.77734375" style="313" customWidth="1"/>
    <col min="9228" max="9464" width="8.88671875" style="313"/>
    <col min="9465" max="9465" width="3.44140625" style="313" customWidth="1"/>
    <col min="9466" max="9466" width="28.109375" style="313" customWidth="1"/>
    <col min="9467" max="9467" width="3.6640625" style="313" customWidth="1"/>
    <col min="9468" max="9468" width="20.5546875" style="313" customWidth="1"/>
    <col min="9469" max="9471" width="14.77734375" style="313" customWidth="1"/>
    <col min="9472" max="9475" width="0" style="313" hidden="1" customWidth="1"/>
    <col min="9476" max="9476" width="11.6640625" style="313" customWidth="1"/>
    <col min="9477" max="9477" width="3.77734375" style="313" customWidth="1"/>
    <col min="9478" max="9478" width="14.77734375" style="313" customWidth="1"/>
    <col min="9479" max="9479" width="8.88671875" style="313"/>
    <col min="9480" max="9480" width="7.33203125" style="313" customWidth="1"/>
    <col min="9481" max="9482" width="0" style="313" hidden="1" customWidth="1"/>
    <col min="9483" max="9483" width="14.77734375" style="313" customWidth="1"/>
    <col min="9484" max="9720" width="8.88671875" style="313"/>
    <col min="9721" max="9721" width="3.44140625" style="313" customWidth="1"/>
    <col min="9722" max="9722" width="28.109375" style="313" customWidth="1"/>
    <col min="9723" max="9723" width="3.6640625" style="313" customWidth="1"/>
    <col min="9724" max="9724" width="20.5546875" style="313" customWidth="1"/>
    <col min="9725" max="9727" width="14.77734375" style="313" customWidth="1"/>
    <col min="9728" max="9731" width="0" style="313" hidden="1" customWidth="1"/>
    <col min="9732" max="9732" width="11.6640625" style="313" customWidth="1"/>
    <col min="9733" max="9733" width="3.77734375" style="313" customWidth="1"/>
    <col min="9734" max="9734" width="14.77734375" style="313" customWidth="1"/>
    <col min="9735" max="9735" width="8.88671875" style="313"/>
    <col min="9736" max="9736" width="7.33203125" style="313" customWidth="1"/>
    <col min="9737" max="9738" width="0" style="313" hidden="1" customWidth="1"/>
    <col min="9739" max="9739" width="14.77734375" style="313" customWidth="1"/>
    <col min="9740" max="9976" width="8.88671875" style="313"/>
    <col min="9977" max="9977" width="3.44140625" style="313" customWidth="1"/>
    <col min="9978" max="9978" width="28.109375" style="313" customWidth="1"/>
    <col min="9979" max="9979" width="3.6640625" style="313" customWidth="1"/>
    <col min="9980" max="9980" width="20.5546875" style="313" customWidth="1"/>
    <col min="9981" max="9983" width="14.77734375" style="313" customWidth="1"/>
    <col min="9984" max="9987" width="0" style="313" hidden="1" customWidth="1"/>
    <col min="9988" max="9988" width="11.6640625" style="313" customWidth="1"/>
    <col min="9989" max="9989" width="3.77734375" style="313" customWidth="1"/>
    <col min="9990" max="9990" width="14.77734375" style="313" customWidth="1"/>
    <col min="9991" max="9991" width="8.88671875" style="313"/>
    <col min="9992" max="9992" width="7.33203125" style="313" customWidth="1"/>
    <col min="9993" max="9994" width="0" style="313" hidden="1" customWidth="1"/>
    <col min="9995" max="9995" width="14.77734375" style="313" customWidth="1"/>
    <col min="9996" max="10232" width="8.88671875" style="313"/>
    <col min="10233" max="10233" width="3.44140625" style="313" customWidth="1"/>
    <col min="10234" max="10234" width="28.109375" style="313" customWidth="1"/>
    <col min="10235" max="10235" width="3.6640625" style="313" customWidth="1"/>
    <col min="10236" max="10236" width="20.5546875" style="313" customWidth="1"/>
    <col min="10237" max="10239" width="14.77734375" style="313" customWidth="1"/>
    <col min="10240" max="10243" width="0" style="313" hidden="1" customWidth="1"/>
    <col min="10244" max="10244" width="11.6640625" style="313" customWidth="1"/>
    <col min="10245" max="10245" width="3.77734375" style="313" customWidth="1"/>
    <col min="10246" max="10246" width="14.77734375" style="313" customWidth="1"/>
    <col min="10247" max="10247" width="8.88671875" style="313"/>
    <col min="10248" max="10248" width="7.33203125" style="313" customWidth="1"/>
    <col min="10249" max="10250" width="0" style="313" hidden="1" customWidth="1"/>
    <col min="10251" max="10251" width="14.77734375" style="313" customWidth="1"/>
    <col min="10252" max="10488" width="8.88671875" style="313"/>
    <col min="10489" max="10489" width="3.44140625" style="313" customWidth="1"/>
    <col min="10490" max="10490" width="28.109375" style="313" customWidth="1"/>
    <col min="10491" max="10491" width="3.6640625" style="313" customWidth="1"/>
    <col min="10492" max="10492" width="20.5546875" style="313" customWidth="1"/>
    <col min="10493" max="10495" width="14.77734375" style="313" customWidth="1"/>
    <col min="10496" max="10499" width="0" style="313" hidden="1" customWidth="1"/>
    <col min="10500" max="10500" width="11.6640625" style="313" customWidth="1"/>
    <col min="10501" max="10501" width="3.77734375" style="313" customWidth="1"/>
    <col min="10502" max="10502" width="14.77734375" style="313" customWidth="1"/>
    <col min="10503" max="10503" width="8.88671875" style="313"/>
    <col min="10504" max="10504" width="7.33203125" style="313" customWidth="1"/>
    <col min="10505" max="10506" width="0" style="313" hidden="1" customWidth="1"/>
    <col min="10507" max="10507" width="14.77734375" style="313" customWidth="1"/>
    <col min="10508" max="10744" width="8.88671875" style="313"/>
    <col min="10745" max="10745" width="3.44140625" style="313" customWidth="1"/>
    <col min="10746" max="10746" width="28.109375" style="313" customWidth="1"/>
    <col min="10747" max="10747" width="3.6640625" style="313" customWidth="1"/>
    <col min="10748" max="10748" width="20.5546875" style="313" customWidth="1"/>
    <col min="10749" max="10751" width="14.77734375" style="313" customWidth="1"/>
    <col min="10752" max="10755" width="0" style="313" hidden="1" customWidth="1"/>
    <col min="10756" max="10756" width="11.6640625" style="313" customWidth="1"/>
    <col min="10757" max="10757" width="3.77734375" style="313" customWidth="1"/>
    <col min="10758" max="10758" width="14.77734375" style="313" customWidth="1"/>
    <col min="10759" max="10759" width="8.88671875" style="313"/>
    <col min="10760" max="10760" width="7.33203125" style="313" customWidth="1"/>
    <col min="10761" max="10762" width="0" style="313" hidden="1" customWidth="1"/>
    <col min="10763" max="10763" width="14.77734375" style="313" customWidth="1"/>
    <col min="10764" max="11000" width="8.88671875" style="313"/>
    <col min="11001" max="11001" width="3.44140625" style="313" customWidth="1"/>
    <col min="11002" max="11002" width="28.109375" style="313" customWidth="1"/>
    <col min="11003" max="11003" width="3.6640625" style="313" customWidth="1"/>
    <col min="11004" max="11004" width="20.5546875" style="313" customWidth="1"/>
    <col min="11005" max="11007" width="14.77734375" style="313" customWidth="1"/>
    <col min="11008" max="11011" width="0" style="313" hidden="1" customWidth="1"/>
    <col min="11012" max="11012" width="11.6640625" style="313" customWidth="1"/>
    <col min="11013" max="11013" width="3.77734375" style="313" customWidth="1"/>
    <col min="11014" max="11014" width="14.77734375" style="313" customWidth="1"/>
    <col min="11015" max="11015" width="8.88671875" style="313"/>
    <col min="11016" max="11016" width="7.33203125" style="313" customWidth="1"/>
    <col min="11017" max="11018" width="0" style="313" hidden="1" customWidth="1"/>
    <col min="11019" max="11019" width="14.77734375" style="313" customWidth="1"/>
    <col min="11020" max="11256" width="8.88671875" style="313"/>
    <col min="11257" max="11257" width="3.44140625" style="313" customWidth="1"/>
    <col min="11258" max="11258" width="28.109375" style="313" customWidth="1"/>
    <col min="11259" max="11259" width="3.6640625" style="313" customWidth="1"/>
    <col min="11260" max="11260" width="20.5546875" style="313" customWidth="1"/>
    <col min="11261" max="11263" width="14.77734375" style="313" customWidth="1"/>
    <col min="11264" max="11267" width="0" style="313" hidden="1" customWidth="1"/>
    <col min="11268" max="11268" width="11.6640625" style="313" customWidth="1"/>
    <col min="11269" max="11269" width="3.77734375" style="313" customWidth="1"/>
    <col min="11270" max="11270" width="14.77734375" style="313" customWidth="1"/>
    <col min="11271" max="11271" width="8.88671875" style="313"/>
    <col min="11272" max="11272" width="7.33203125" style="313" customWidth="1"/>
    <col min="11273" max="11274" width="0" style="313" hidden="1" customWidth="1"/>
    <col min="11275" max="11275" width="14.77734375" style="313" customWidth="1"/>
    <col min="11276" max="11512" width="8.88671875" style="313"/>
    <col min="11513" max="11513" width="3.44140625" style="313" customWidth="1"/>
    <col min="11514" max="11514" width="28.109375" style="313" customWidth="1"/>
    <col min="11515" max="11515" width="3.6640625" style="313" customWidth="1"/>
    <col min="11516" max="11516" width="20.5546875" style="313" customWidth="1"/>
    <col min="11517" max="11519" width="14.77734375" style="313" customWidth="1"/>
    <col min="11520" max="11523" width="0" style="313" hidden="1" customWidth="1"/>
    <col min="11524" max="11524" width="11.6640625" style="313" customWidth="1"/>
    <col min="11525" max="11525" width="3.77734375" style="313" customWidth="1"/>
    <col min="11526" max="11526" width="14.77734375" style="313" customWidth="1"/>
    <col min="11527" max="11527" width="8.88671875" style="313"/>
    <col min="11528" max="11528" width="7.33203125" style="313" customWidth="1"/>
    <col min="11529" max="11530" width="0" style="313" hidden="1" customWidth="1"/>
    <col min="11531" max="11531" width="14.77734375" style="313" customWidth="1"/>
    <col min="11532" max="11768" width="8.88671875" style="313"/>
    <col min="11769" max="11769" width="3.44140625" style="313" customWidth="1"/>
    <col min="11770" max="11770" width="28.109375" style="313" customWidth="1"/>
    <col min="11771" max="11771" width="3.6640625" style="313" customWidth="1"/>
    <col min="11772" max="11772" width="20.5546875" style="313" customWidth="1"/>
    <col min="11773" max="11775" width="14.77734375" style="313" customWidth="1"/>
    <col min="11776" max="11779" width="0" style="313" hidden="1" customWidth="1"/>
    <col min="11780" max="11780" width="11.6640625" style="313" customWidth="1"/>
    <col min="11781" max="11781" width="3.77734375" style="313" customWidth="1"/>
    <col min="11782" max="11782" width="14.77734375" style="313" customWidth="1"/>
    <col min="11783" max="11783" width="8.88671875" style="313"/>
    <col min="11784" max="11784" width="7.33203125" style="313" customWidth="1"/>
    <col min="11785" max="11786" width="0" style="313" hidden="1" customWidth="1"/>
    <col min="11787" max="11787" width="14.77734375" style="313" customWidth="1"/>
    <col min="11788" max="12024" width="8.88671875" style="313"/>
    <col min="12025" max="12025" width="3.44140625" style="313" customWidth="1"/>
    <col min="12026" max="12026" width="28.109375" style="313" customWidth="1"/>
    <col min="12027" max="12027" width="3.6640625" style="313" customWidth="1"/>
    <col min="12028" max="12028" width="20.5546875" style="313" customWidth="1"/>
    <col min="12029" max="12031" width="14.77734375" style="313" customWidth="1"/>
    <col min="12032" max="12035" width="0" style="313" hidden="1" customWidth="1"/>
    <col min="12036" max="12036" width="11.6640625" style="313" customWidth="1"/>
    <col min="12037" max="12037" width="3.77734375" style="313" customWidth="1"/>
    <col min="12038" max="12038" width="14.77734375" style="313" customWidth="1"/>
    <col min="12039" max="12039" width="8.88671875" style="313"/>
    <col min="12040" max="12040" width="7.33203125" style="313" customWidth="1"/>
    <col min="12041" max="12042" width="0" style="313" hidden="1" customWidth="1"/>
    <col min="12043" max="12043" width="14.77734375" style="313" customWidth="1"/>
    <col min="12044" max="12280" width="8.88671875" style="313"/>
    <col min="12281" max="12281" width="3.44140625" style="313" customWidth="1"/>
    <col min="12282" max="12282" width="28.109375" style="313" customWidth="1"/>
    <col min="12283" max="12283" width="3.6640625" style="313" customWidth="1"/>
    <col min="12284" max="12284" width="20.5546875" style="313" customWidth="1"/>
    <col min="12285" max="12287" width="14.77734375" style="313" customWidth="1"/>
    <col min="12288" max="12291" width="0" style="313" hidden="1" customWidth="1"/>
    <col min="12292" max="12292" width="11.6640625" style="313" customWidth="1"/>
    <col min="12293" max="12293" width="3.77734375" style="313" customWidth="1"/>
    <col min="12294" max="12294" width="14.77734375" style="313" customWidth="1"/>
    <col min="12295" max="12295" width="8.88671875" style="313"/>
    <col min="12296" max="12296" width="7.33203125" style="313" customWidth="1"/>
    <col min="12297" max="12298" width="0" style="313" hidden="1" customWidth="1"/>
    <col min="12299" max="12299" width="14.77734375" style="313" customWidth="1"/>
    <col min="12300" max="12536" width="8.88671875" style="313"/>
    <col min="12537" max="12537" width="3.44140625" style="313" customWidth="1"/>
    <col min="12538" max="12538" width="28.109375" style="313" customWidth="1"/>
    <col min="12539" max="12539" width="3.6640625" style="313" customWidth="1"/>
    <col min="12540" max="12540" width="20.5546875" style="313" customWidth="1"/>
    <col min="12541" max="12543" width="14.77734375" style="313" customWidth="1"/>
    <col min="12544" max="12547" width="0" style="313" hidden="1" customWidth="1"/>
    <col min="12548" max="12548" width="11.6640625" style="313" customWidth="1"/>
    <col min="12549" max="12549" width="3.77734375" style="313" customWidth="1"/>
    <col min="12550" max="12550" width="14.77734375" style="313" customWidth="1"/>
    <col min="12551" max="12551" width="8.88671875" style="313"/>
    <col min="12552" max="12552" width="7.33203125" style="313" customWidth="1"/>
    <col min="12553" max="12554" width="0" style="313" hidden="1" customWidth="1"/>
    <col min="12555" max="12555" width="14.77734375" style="313" customWidth="1"/>
    <col min="12556" max="12792" width="8.88671875" style="313"/>
    <col min="12793" max="12793" width="3.44140625" style="313" customWidth="1"/>
    <col min="12794" max="12794" width="28.109375" style="313" customWidth="1"/>
    <col min="12795" max="12795" width="3.6640625" style="313" customWidth="1"/>
    <col min="12796" max="12796" width="20.5546875" style="313" customWidth="1"/>
    <col min="12797" max="12799" width="14.77734375" style="313" customWidth="1"/>
    <col min="12800" max="12803" width="0" style="313" hidden="1" customWidth="1"/>
    <col min="12804" max="12804" width="11.6640625" style="313" customWidth="1"/>
    <col min="12805" max="12805" width="3.77734375" style="313" customWidth="1"/>
    <col min="12806" max="12806" width="14.77734375" style="313" customWidth="1"/>
    <col min="12807" max="12807" width="8.88671875" style="313"/>
    <col min="12808" max="12808" width="7.33203125" style="313" customWidth="1"/>
    <col min="12809" max="12810" width="0" style="313" hidden="1" customWidth="1"/>
    <col min="12811" max="12811" width="14.77734375" style="313" customWidth="1"/>
    <col min="12812" max="13048" width="8.88671875" style="313"/>
    <col min="13049" max="13049" width="3.44140625" style="313" customWidth="1"/>
    <col min="13050" max="13050" width="28.109375" style="313" customWidth="1"/>
    <col min="13051" max="13051" width="3.6640625" style="313" customWidth="1"/>
    <col min="13052" max="13052" width="20.5546875" style="313" customWidth="1"/>
    <col min="13053" max="13055" width="14.77734375" style="313" customWidth="1"/>
    <col min="13056" max="13059" width="0" style="313" hidden="1" customWidth="1"/>
    <col min="13060" max="13060" width="11.6640625" style="313" customWidth="1"/>
    <col min="13061" max="13061" width="3.77734375" style="313" customWidth="1"/>
    <col min="13062" max="13062" width="14.77734375" style="313" customWidth="1"/>
    <col min="13063" max="13063" width="8.88671875" style="313"/>
    <col min="13064" max="13064" width="7.33203125" style="313" customWidth="1"/>
    <col min="13065" max="13066" width="0" style="313" hidden="1" customWidth="1"/>
    <col min="13067" max="13067" width="14.77734375" style="313" customWidth="1"/>
    <col min="13068" max="13304" width="8.88671875" style="313"/>
    <col min="13305" max="13305" width="3.44140625" style="313" customWidth="1"/>
    <col min="13306" max="13306" width="28.109375" style="313" customWidth="1"/>
    <col min="13307" max="13307" width="3.6640625" style="313" customWidth="1"/>
    <col min="13308" max="13308" width="20.5546875" style="313" customWidth="1"/>
    <col min="13309" max="13311" width="14.77734375" style="313" customWidth="1"/>
    <col min="13312" max="13315" width="0" style="313" hidden="1" customWidth="1"/>
    <col min="13316" max="13316" width="11.6640625" style="313" customWidth="1"/>
    <col min="13317" max="13317" width="3.77734375" style="313" customWidth="1"/>
    <col min="13318" max="13318" width="14.77734375" style="313" customWidth="1"/>
    <col min="13319" max="13319" width="8.88671875" style="313"/>
    <col min="13320" max="13320" width="7.33203125" style="313" customWidth="1"/>
    <col min="13321" max="13322" width="0" style="313" hidden="1" customWidth="1"/>
    <col min="13323" max="13323" width="14.77734375" style="313" customWidth="1"/>
    <col min="13324" max="13560" width="8.88671875" style="313"/>
    <col min="13561" max="13561" width="3.44140625" style="313" customWidth="1"/>
    <col min="13562" max="13562" width="28.109375" style="313" customWidth="1"/>
    <col min="13563" max="13563" width="3.6640625" style="313" customWidth="1"/>
    <col min="13564" max="13564" width="20.5546875" style="313" customWidth="1"/>
    <col min="13565" max="13567" width="14.77734375" style="313" customWidth="1"/>
    <col min="13568" max="13571" width="0" style="313" hidden="1" customWidth="1"/>
    <col min="13572" max="13572" width="11.6640625" style="313" customWidth="1"/>
    <col min="13573" max="13573" width="3.77734375" style="313" customWidth="1"/>
    <col min="13574" max="13574" width="14.77734375" style="313" customWidth="1"/>
    <col min="13575" max="13575" width="8.88671875" style="313"/>
    <col min="13576" max="13576" width="7.33203125" style="313" customWidth="1"/>
    <col min="13577" max="13578" width="0" style="313" hidden="1" customWidth="1"/>
    <col min="13579" max="13579" width="14.77734375" style="313" customWidth="1"/>
    <col min="13580" max="13816" width="8.88671875" style="313"/>
    <col min="13817" max="13817" width="3.44140625" style="313" customWidth="1"/>
    <col min="13818" max="13818" width="28.109375" style="313" customWidth="1"/>
    <col min="13819" max="13819" width="3.6640625" style="313" customWidth="1"/>
    <col min="13820" max="13820" width="20.5546875" style="313" customWidth="1"/>
    <col min="13821" max="13823" width="14.77734375" style="313" customWidth="1"/>
    <col min="13824" max="13827" width="0" style="313" hidden="1" customWidth="1"/>
    <col min="13828" max="13828" width="11.6640625" style="313" customWidth="1"/>
    <col min="13829" max="13829" width="3.77734375" style="313" customWidth="1"/>
    <col min="13830" max="13830" width="14.77734375" style="313" customWidth="1"/>
    <col min="13831" max="13831" width="8.88671875" style="313"/>
    <col min="13832" max="13832" width="7.33203125" style="313" customWidth="1"/>
    <col min="13833" max="13834" width="0" style="313" hidden="1" customWidth="1"/>
    <col min="13835" max="13835" width="14.77734375" style="313" customWidth="1"/>
    <col min="13836" max="14072" width="8.88671875" style="313"/>
    <col min="14073" max="14073" width="3.44140625" style="313" customWidth="1"/>
    <col min="14074" max="14074" width="28.109375" style="313" customWidth="1"/>
    <col min="14075" max="14075" width="3.6640625" style="313" customWidth="1"/>
    <col min="14076" max="14076" width="20.5546875" style="313" customWidth="1"/>
    <col min="14077" max="14079" width="14.77734375" style="313" customWidth="1"/>
    <col min="14080" max="14083" width="0" style="313" hidden="1" customWidth="1"/>
    <col min="14084" max="14084" width="11.6640625" style="313" customWidth="1"/>
    <col min="14085" max="14085" width="3.77734375" style="313" customWidth="1"/>
    <col min="14086" max="14086" width="14.77734375" style="313" customWidth="1"/>
    <col min="14087" max="14087" width="8.88671875" style="313"/>
    <col min="14088" max="14088" width="7.33203125" style="313" customWidth="1"/>
    <col min="14089" max="14090" width="0" style="313" hidden="1" customWidth="1"/>
    <col min="14091" max="14091" width="14.77734375" style="313" customWidth="1"/>
    <col min="14092" max="14328" width="8.88671875" style="313"/>
    <col min="14329" max="14329" width="3.44140625" style="313" customWidth="1"/>
    <col min="14330" max="14330" width="28.109375" style="313" customWidth="1"/>
    <col min="14331" max="14331" width="3.6640625" style="313" customWidth="1"/>
    <col min="14332" max="14332" width="20.5546875" style="313" customWidth="1"/>
    <col min="14333" max="14335" width="14.77734375" style="313" customWidth="1"/>
    <col min="14336" max="14339" width="0" style="313" hidden="1" customWidth="1"/>
    <col min="14340" max="14340" width="11.6640625" style="313" customWidth="1"/>
    <col min="14341" max="14341" width="3.77734375" style="313" customWidth="1"/>
    <col min="14342" max="14342" width="14.77734375" style="313" customWidth="1"/>
    <col min="14343" max="14343" width="8.88671875" style="313"/>
    <col min="14344" max="14344" width="7.33203125" style="313" customWidth="1"/>
    <col min="14345" max="14346" width="0" style="313" hidden="1" customWidth="1"/>
    <col min="14347" max="14347" width="14.77734375" style="313" customWidth="1"/>
    <col min="14348" max="14584" width="8.88671875" style="313"/>
    <col min="14585" max="14585" width="3.44140625" style="313" customWidth="1"/>
    <col min="14586" max="14586" width="28.109375" style="313" customWidth="1"/>
    <col min="14587" max="14587" width="3.6640625" style="313" customWidth="1"/>
    <col min="14588" max="14588" width="20.5546875" style="313" customWidth="1"/>
    <col min="14589" max="14591" width="14.77734375" style="313" customWidth="1"/>
    <col min="14592" max="14595" width="0" style="313" hidden="1" customWidth="1"/>
    <col min="14596" max="14596" width="11.6640625" style="313" customWidth="1"/>
    <col min="14597" max="14597" width="3.77734375" style="313" customWidth="1"/>
    <col min="14598" max="14598" width="14.77734375" style="313" customWidth="1"/>
    <col min="14599" max="14599" width="8.88671875" style="313"/>
    <col min="14600" max="14600" width="7.33203125" style="313" customWidth="1"/>
    <col min="14601" max="14602" width="0" style="313" hidden="1" customWidth="1"/>
    <col min="14603" max="14603" width="14.77734375" style="313" customWidth="1"/>
    <col min="14604" max="14840" width="8.88671875" style="313"/>
    <col min="14841" max="14841" width="3.44140625" style="313" customWidth="1"/>
    <col min="14842" max="14842" width="28.109375" style="313" customWidth="1"/>
    <col min="14843" max="14843" width="3.6640625" style="313" customWidth="1"/>
    <col min="14844" max="14844" width="20.5546875" style="313" customWidth="1"/>
    <col min="14845" max="14847" width="14.77734375" style="313" customWidth="1"/>
    <col min="14848" max="14851" width="0" style="313" hidden="1" customWidth="1"/>
    <col min="14852" max="14852" width="11.6640625" style="313" customWidth="1"/>
    <col min="14853" max="14853" width="3.77734375" style="313" customWidth="1"/>
    <col min="14854" max="14854" width="14.77734375" style="313" customWidth="1"/>
    <col min="14855" max="14855" width="8.88671875" style="313"/>
    <col min="14856" max="14856" width="7.33203125" style="313" customWidth="1"/>
    <col min="14857" max="14858" width="0" style="313" hidden="1" customWidth="1"/>
    <col min="14859" max="14859" width="14.77734375" style="313" customWidth="1"/>
    <col min="14860" max="15096" width="8.88671875" style="313"/>
    <col min="15097" max="15097" width="3.44140625" style="313" customWidth="1"/>
    <col min="15098" max="15098" width="28.109375" style="313" customWidth="1"/>
    <col min="15099" max="15099" width="3.6640625" style="313" customWidth="1"/>
    <col min="15100" max="15100" width="20.5546875" style="313" customWidth="1"/>
    <col min="15101" max="15103" width="14.77734375" style="313" customWidth="1"/>
    <col min="15104" max="15107" width="0" style="313" hidden="1" customWidth="1"/>
    <col min="15108" max="15108" width="11.6640625" style="313" customWidth="1"/>
    <col min="15109" max="15109" width="3.77734375" style="313" customWidth="1"/>
    <col min="15110" max="15110" width="14.77734375" style="313" customWidth="1"/>
    <col min="15111" max="15111" width="8.88671875" style="313"/>
    <col min="15112" max="15112" width="7.33203125" style="313" customWidth="1"/>
    <col min="15113" max="15114" width="0" style="313" hidden="1" customWidth="1"/>
    <col min="15115" max="15115" width="14.77734375" style="313" customWidth="1"/>
    <col min="15116" max="15352" width="8.88671875" style="313"/>
    <col min="15353" max="15353" width="3.44140625" style="313" customWidth="1"/>
    <col min="15354" max="15354" width="28.109375" style="313" customWidth="1"/>
    <col min="15355" max="15355" width="3.6640625" style="313" customWidth="1"/>
    <col min="15356" max="15356" width="20.5546875" style="313" customWidth="1"/>
    <col min="15357" max="15359" width="14.77734375" style="313" customWidth="1"/>
    <col min="15360" max="15363" width="0" style="313" hidden="1" customWidth="1"/>
    <col min="15364" max="15364" width="11.6640625" style="313" customWidth="1"/>
    <col min="15365" max="15365" width="3.77734375" style="313" customWidth="1"/>
    <col min="15366" max="15366" width="14.77734375" style="313" customWidth="1"/>
    <col min="15367" max="15367" width="8.88671875" style="313"/>
    <col min="15368" max="15368" width="7.33203125" style="313" customWidth="1"/>
    <col min="15369" max="15370" width="0" style="313" hidden="1" customWidth="1"/>
    <col min="15371" max="15371" width="14.77734375" style="313" customWidth="1"/>
    <col min="15372" max="15608" width="8.88671875" style="313"/>
    <col min="15609" max="15609" width="3.44140625" style="313" customWidth="1"/>
    <col min="15610" max="15610" width="28.109375" style="313" customWidth="1"/>
    <col min="15611" max="15611" width="3.6640625" style="313" customWidth="1"/>
    <col min="15612" max="15612" width="20.5546875" style="313" customWidth="1"/>
    <col min="15613" max="15615" width="14.77734375" style="313" customWidth="1"/>
    <col min="15616" max="15619" width="0" style="313" hidden="1" customWidth="1"/>
    <col min="15620" max="15620" width="11.6640625" style="313" customWidth="1"/>
    <col min="15621" max="15621" width="3.77734375" style="313" customWidth="1"/>
    <col min="15622" max="15622" width="14.77734375" style="313" customWidth="1"/>
    <col min="15623" max="15623" width="8.88671875" style="313"/>
    <col min="15624" max="15624" width="7.33203125" style="313" customWidth="1"/>
    <col min="15625" max="15626" width="0" style="313" hidden="1" customWidth="1"/>
    <col min="15627" max="15627" width="14.77734375" style="313" customWidth="1"/>
    <col min="15628" max="15864" width="8.88671875" style="313"/>
    <col min="15865" max="15865" width="3.44140625" style="313" customWidth="1"/>
    <col min="15866" max="15866" width="28.109375" style="313" customWidth="1"/>
    <col min="15867" max="15867" width="3.6640625" style="313" customWidth="1"/>
    <col min="15868" max="15868" width="20.5546875" style="313" customWidth="1"/>
    <col min="15869" max="15871" width="14.77734375" style="313" customWidth="1"/>
    <col min="15872" max="15875" width="0" style="313" hidden="1" customWidth="1"/>
    <col min="15876" max="15876" width="11.6640625" style="313" customWidth="1"/>
    <col min="15877" max="15877" width="3.77734375" style="313" customWidth="1"/>
    <col min="15878" max="15878" width="14.77734375" style="313" customWidth="1"/>
    <col min="15879" max="15879" width="8.88671875" style="313"/>
    <col min="15880" max="15880" width="7.33203125" style="313" customWidth="1"/>
    <col min="15881" max="15882" width="0" style="313" hidden="1" customWidth="1"/>
    <col min="15883" max="15883" width="14.77734375" style="313" customWidth="1"/>
    <col min="15884" max="16120" width="8.88671875" style="313"/>
    <col min="16121" max="16121" width="3.44140625" style="313" customWidth="1"/>
    <col min="16122" max="16122" width="28.109375" style="313" customWidth="1"/>
    <col min="16123" max="16123" width="3.6640625" style="313" customWidth="1"/>
    <col min="16124" max="16124" width="20.5546875" style="313" customWidth="1"/>
    <col min="16125" max="16127" width="14.77734375" style="313" customWidth="1"/>
    <col min="16128" max="16131" width="0" style="313" hidden="1" customWidth="1"/>
    <col min="16132" max="16132" width="11.6640625" style="313" customWidth="1"/>
    <col min="16133" max="16133" width="3.77734375" style="313" customWidth="1"/>
    <col min="16134" max="16134" width="14.77734375" style="313" customWidth="1"/>
    <col min="16135" max="16135" width="8.88671875" style="313"/>
    <col min="16136" max="16136" width="7.33203125" style="313" customWidth="1"/>
    <col min="16137" max="16138" width="0" style="313" hidden="1" customWidth="1"/>
    <col min="16139" max="16139" width="14.77734375" style="313" customWidth="1"/>
    <col min="16140" max="16384" width="8.88671875" style="313"/>
  </cols>
  <sheetData>
    <row r="1" spans="1:14" x14ac:dyDescent="0.3">
      <c r="A1" s="569"/>
      <c r="B1" s="570" t="s">
        <v>603</v>
      </c>
      <c r="C1" s="571"/>
      <c r="D1" s="571"/>
      <c r="E1" s="572"/>
      <c r="I1" s="574"/>
      <c r="J1" s="575"/>
      <c r="L1" s="574"/>
      <c r="M1" s="575"/>
    </row>
    <row r="2" spans="1:14" ht="15" thickBot="1" x14ac:dyDescent="0.35">
      <c r="A2" s="576"/>
      <c r="B2" s="576"/>
      <c r="C2" s="577"/>
      <c r="D2" s="577"/>
      <c r="E2" s="578"/>
      <c r="I2" s="574"/>
      <c r="J2" s="575"/>
      <c r="L2" s="574"/>
      <c r="M2" s="575"/>
      <c r="N2" s="313"/>
    </row>
    <row r="3" spans="1:14" ht="13.8" thickBot="1" x14ac:dyDescent="0.3">
      <c r="A3" s="576"/>
      <c r="B3" s="579" t="s">
        <v>0</v>
      </c>
      <c r="C3" s="577"/>
      <c r="D3" s="580" t="s">
        <v>604</v>
      </c>
      <c r="E3" s="580" t="s">
        <v>467</v>
      </c>
      <c r="F3" s="580" t="s">
        <v>371</v>
      </c>
      <c r="G3" s="580" t="s">
        <v>231</v>
      </c>
      <c r="I3" s="581" t="s">
        <v>605</v>
      </c>
      <c r="J3" s="582" t="s">
        <v>142</v>
      </c>
      <c r="L3" s="581" t="s">
        <v>606</v>
      </c>
      <c r="M3" s="582" t="s">
        <v>142</v>
      </c>
      <c r="N3" s="313"/>
    </row>
    <row r="4" spans="1:14" ht="13.8" thickBot="1" x14ac:dyDescent="0.3">
      <c r="A4" s="569"/>
      <c r="B4" s="569"/>
      <c r="C4" s="571"/>
      <c r="D4" s="572"/>
      <c r="E4" s="572"/>
      <c r="F4" s="572"/>
      <c r="G4" s="572"/>
      <c r="I4" s="583"/>
      <c r="J4" s="584"/>
      <c r="L4" s="583"/>
      <c r="M4" s="584"/>
      <c r="N4" s="313"/>
    </row>
    <row r="5" spans="1:14" ht="13.2" x14ac:dyDescent="0.25">
      <c r="A5" s="569"/>
      <c r="B5" s="585" t="s">
        <v>15</v>
      </c>
      <c r="C5" s="571"/>
      <c r="D5" s="758">
        <f>'[3]Income Statement'!R14</f>
        <v>3750267.2699999996</v>
      </c>
      <c r="E5" s="586">
        <v>3553334.92</v>
      </c>
      <c r="F5" s="586">
        <v>3364420.87</v>
      </c>
      <c r="G5" s="586">
        <v>3020537.2</v>
      </c>
      <c r="I5" s="587">
        <f t="shared" ref="I5:I25" si="0">D5-E5</f>
        <v>196932.34999999963</v>
      </c>
      <c r="J5" s="588">
        <f>+I5/E5</f>
        <v>5.5421837353851137E-2</v>
      </c>
      <c r="L5" s="587">
        <f t="shared" ref="L5:L25" si="1">D5-F5</f>
        <v>385846.39999999944</v>
      </c>
      <c r="M5" s="588">
        <f>+L5/F5</f>
        <v>0.11468434387639481</v>
      </c>
    </row>
    <row r="6" spans="1:14" ht="13.2" x14ac:dyDescent="0.25">
      <c r="A6" s="570"/>
      <c r="B6" s="589" t="s">
        <v>16</v>
      </c>
      <c r="C6" s="590"/>
      <c r="D6" s="591">
        <f t="shared" ref="D6:G6" si="2">SUM(D5)</f>
        <v>3750267.2699999996</v>
      </c>
      <c r="E6" s="591">
        <f t="shared" si="2"/>
        <v>3553334.92</v>
      </c>
      <c r="F6" s="591">
        <f t="shared" si="2"/>
        <v>3364420.87</v>
      </c>
      <c r="G6" s="591">
        <f t="shared" si="2"/>
        <v>3020537.2</v>
      </c>
      <c r="I6" s="592">
        <f t="shared" si="0"/>
        <v>196932.34999999963</v>
      </c>
      <c r="J6" s="593">
        <f>+I6/E6</f>
        <v>5.5421837353851137E-2</v>
      </c>
      <c r="L6" s="592">
        <f t="shared" si="1"/>
        <v>385846.39999999944</v>
      </c>
      <c r="M6" s="593">
        <f>+L6/F6</f>
        <v>0.11468434387639481</v>
      </c>
    </row>
    <row r="7" spans="1:14" ht="13.2" x14ac:dyDescent="0.25">
      <c r="A7" s="569"/>
      <c r="B7" s="594"/>
      <c r="C7" s="571"/>
      <c r="D7" s="595"/>
      <c r="E7" s="595"/>
      <c r="F7" s="595"/>
      <c r="G7" s="595"/>
      <c r="I7" s="597">
        <f t="shared" si="0"/>
        <v>0</v>
      </c>
      <c r="J7" s="598"/>
      <c r="L7" s="597">
        <f t="shared" si="1"/>
        <v>0</v>
      </c>
      <c r="M7" s="598"/>
    </row>
    <row r="8" spans="1:14" ht="13.2" x14ac:dyDescent="0.25">
      <c r="A8" s="569"/>
      <c r="B8" s="594" t="s">
        <v>17</v>
      </c>
      <c r="C8" s="571"/>
      <c r="D8" s="595">
        <f>'[3]Income Statement'!R20</f>
        <v>1397530.6530453335</v>
      </c>
      <c r="E8" s="595">
        <v>1300689.8300000003</v>
      </c>
      <c r="F8" s="595">
        <v>1223614.23</v>
      </c>
      <c r="G8" s="595">
        <v>1175693.5900000001</v>
      </c>
      <c r="I8" s="592">
        <f t="shared" si="0"/>
        <v>96840.823045333149</v>
      </c>
      <c r="J8" s="593">
        <f t="shared" ref="J8:J13" si="3">+I8/E8</f>
        <v>7.4453432948986098E-2</v>
      </c>
      <c r="L8" s="592">
        <f t="shared" si="1"/>
        <v>173916.42304533347</v>
      </c>
      <c r="M8" s="593">
        <f t="shared" ref="M8:M13" si="4">+L8/F8</f>
        <v>0.14213337731887402</v>
      </c>
    </row>
    <row r="9" spans="1:14" ht="13.2" x14ac:dyDescent="0.25">
      <c r="A9" s="569"/>
      <c r="B9" s="594" t="s">
        <v>18</v>
      </c>
      <c r="C9" s="571"/>
      <c r="D9" s="595">
        <f>'[3]Income Statement'!R21</f>
        <v>1270839.6381187509</v>
      </c>
      <c r="E9" s="595">
        <v>1380588.2000000002</v>
      </c>
      <c r="F9" s="595">
        <v>1142248.98</v>
      </c>
      <c r="G9" s="595">
        <v>1124972.82</v>
      </c>
      <c r="I9" s="592">
        <f t="shared" si="0"/>
        <v>-109748.5618812493</v>
      </c>
      <c r="J9" s="593">
        <f t="shared" si="3"/>
        <v>-7.949406048903597E-2</v>
      </c>
      <c r="L9" s="592">
        <f t="shared" si="1"/>
        <v>128590.6581187509</v>
      </c>
      <c r="M9" s="593">
        <f t="shared" si="4"/>
        <v>0.11257673271789738</v>
      </c>
    </row>
    <row r="10" spans="1:14" ht="13.2" x14ac:dyDescent="0.25">
      <c r="A10" s="569"/>
      <c r="B10" s="594" t="s">
        <v>19</v>
      </c>
      <c r="C10" s="571"/>
      <c r="D10" s="595">
        <f>'[3]Income Statement'!R22</f>
        <v>573073.04106190254</v>
      </c>
      <c r="E10" s="595">
        <v>421533.00999999995</v>
      </c>
      <c r="F10" s="595">
        <v>505209.96999999974</v>
      </c>
      <c r="G10" s="595">
        <v>466558.88400000002</v>
      </c>
      <c r="I10" s="592">
        <f t="shared" si="0"/>
        <v>151540.03106190258</v>
      </c>
      <c r="J10" s="593">
        <f t="shared" si="3"/>
        <v>0.3594974236107929</v>
      </c>
      <c r="L10" s="592">
        <f t="shared" si="1"/>
        <v>67863.071061902796</v>
      </c>
      <c r="M10" s="593">
        <f t="shared" si="4"/>
        <v>0.13432646838284454</v>
      </c>
    </row>
    <row r="11" spans="1:14" ht="13.2" x14ac:dyDescent="0.25">
      <c r="A11" s="569"/>
      <c r="B11" s="594" t="s">
        <v>20</v>
      </c>
      <c r="C11" s="571"/>
      <c r="D11" s="595">
        <f>'[3]Income Statement'!R23</f>
        <v>91716.712800000008</v>
      </c>
      <c r="E11" s="595">
        <v>86381.209999999992</v>
      </c>
      <c r="F11" s="595">
        <v>95523.66</v>
      </c>
      <c r="G11" s="595">
        <v>89624.37000000001</v>
      </c>
      <c r="I11" s="592">
        <f t="shared" si="0"/>
        <v>5335.5028000000166</v>
      </c>
      <c r="J11" s="593">
        <f t="shared" si="3"/>
        <v>6.176693750874776E-2</v>
      </c>
      <c r="L11" s="592">
        <f t="shared" si="1"/>
        <v>-3806.9471999999951</v>
      </c>
      <c r="M11" s="593">
        <f t="shared" si="4"/>
        <v>-3.9853447826433734E-2</v>
      </c>
    </row>
    <row r="12" spans="1:14" ht="13.8" thickBot="1" x14ac:dyDescent="0.3">
      <c r="A12" s="569"/>
      <c r="B12" s="599" t="s">
        <v>21</v>
      </c>
      <c r="C12" s="571"/>
      <c r="D12" s="595">
        <f>'[3]Income Statement'!R24</f>
        <v>417107.5</v>
      </c>
      <c r="E12" s="600">
        <v>392190.56000000006</v>
      </c>
      <c r="F12" s="600">
        <v>389769.28999999992</v>
      </c>
      <c r="G12" s="595">
        <v>337788.44</v>
      </c>
      <c r="I12" s="601">
        <f t="shared" si="0"/>
        <v>24916.939999999944</v>
      </c>
      <c r="J12" s="602">
        <f t="shared" si="3"/>
        <v>6.3532737758909705E-2</v>
      </c>
      <c r="L12" s="601">
        <f t="shared" si="1"/>
        <v>27338.210000000079</v>
      </c>
      <c r="M12" s="602">
        <f t="shared" si="4"/>
        <v>7.0139466349439905E-2</v>
      </c>
    </row>
    <row r="13" spans="1:14" ht="13.2" x14ac:dyDescent="0.25">
      <c r="A13" s="570"/>
      <c r="B13" s="589" t="s">
        <v>22</v>
      </c>
      <c r="C13" s="590"/>
      <c r="D13" s="591">
        <f t="shared" ref="D13:G13" si="5">SUM(D8:D12)</f>
        <v>3750267.5450259866</v>
      </c>
      <c r="E13" s="591">
        <f t="shared" si="5"/>
        <v>3581382.81</v>
      </c>
      <c r="F13" s="591">
        <f t="shared" si="5"/>
        <v>3356366.13</v>
      </c>
      <c r="G13" s="603">
        <f t="shared" si="5"/>
        <v>3194638.1040000003</v>
      </c>
      <c r="I13" s="604">
        <f t="shared" si="0"/>
        <v>168884.73502598656</v>
      </c>
      <c r="J13" s="598">
        <f t="shared" si="3"/>
        <v>4.7156292411529882E-2</v>
      </c>
      <c r="L13" s="604">
        <f t="shared" si="1"/>
        <v>393901.41502598673</v>
      </c>
      <c r="M13" s="598">
        <f t="shared" si="4"/>
        <v>0.11735948933139387</v>
      </c>
    </row>
    <row r="14" spans="1:14" ht="13.2" x14ac:dyDescent="0.25">
      <c r="A14" s="569"/>
      <c r="B14" s="594"/>
      <c r="C14" s="571"/>
      <c r="D14" s="595"/>
      <c r="E14" s="595"/>
      <c r="F14" s="595"/>
      <c r="G14" s="595"/>
      <c r="I14" s="605">
        <f t="shared" si="0"/>
        <v>0</v>
      </c>
      <c r="J14" s="593"/>
      <c r="L14" s="605">
        <f t="shared" si="1"/>
        <v>0</v>
      </c>
      <c r="M14" s="593"/>
    </row>
    <row r="15" spans="1:14" ht="13.2" x14ac:dyDescent="0.25">
      <c r="A15" s="569"/>
      <c r="B15" s="594" t="s">
        <v>23</v>
      </c>
      <c r="C15" s="571"/>
      <c r="D15" s="595">
        <v>-1138588.78</v>
      </c>
      <c r="E15" s="595">
        <v>1202228</v>
      </c>
      <c r="F15" s="595">
        <v>-1138588.78</v>
      </c>
      <c r="G15" s="595">
        <v>-1140358</v>
      </c>
      <c r="I15" s="592">
        <f t="shared" si="0"/>
        <v>-2340816.7800000003</v>
      </c>
      <c r="J15" s="593">
        <f>+I15/E15</f>
        <v>-1.9470655982059977</v>
      </c>
      <c r="L15" s="592">
        <f t="shared" si="1"/>
        <v>0</v>
      </c>
      <c r="M15" s="593">
        <f>+L15/F15</f>
        <v>0</v>
      </c>
    </row>
    <row r="16" spans="1:14" ht="13.2" x14ac:dyDescent="0.25">
      <c r="A16" s="569"/>
      <c r="B16" s="594" t="s">
        <v>24</v>
      </c>
      <c r="C16" s="571"/>
      <c r="D16" s="595">
        <v>1138588.78</v>
      </c>
      <c r="E16" s="595">
        <v>-1202228</v>
      </c>
      <c r="F16" s="595">
        <v>1138588.78</v>
      </c>
      <c r="G16" s="595">
        <v>1140358</v>
      </c>
      <c r="I16" s="592">
        <f t="shared" si="0"/>
        <v>2340816.7800000003</v>
      </c>
      <c r="J16" s="593">
        <f>+I16/E16</f>
        <v>-1.9470655982059977</v>
      </c>
      <c r="L16" s="592">
        <f t="shared" si="1"/>
        <v>0</v>
      </c>
      <c r="M16" s="593">
        <f>+L16/F16</f>
        <v>0</v>
      </c>
    </row>
    <row r="17" spans="1:14" ht="13.8" thickBot="1" x14ac:dyDescent="0.3">
      <c r="A17" s="569"/>
      <c r="B17" s="599" t="s">
        <v>25</v>
      </c>
      <c r="C17" s="571"/>
      <c r="D17" s="600"/>
      <c r="E17" s="600"/>
      <c r="F17" s="600"/>
      <c r="G17" s="595"/>
      <c r="I17" s="601">
        <f t="shared" si="0"/>
        <v>0</v>
      </c>
      <c r="J17" s="602"/>
      <c r="L17" s="601">
        <f t="shared" si="1"/>
        <v>0</v>
      </c>
      <c r="M17" s="602"/>
    </row>
    <row r="18" spans="1:14" ht="13.2" x14ac:dyDescent="0.25">
      <c r="A18" s="570"/>
      <c r="B18" s="589" t="s">
        <v>26</v>
      </c>
      <c r="C18" s="590"/>
      <c r="D18" s="591">
        <f t="shared" ref="D18:G18" si="6">SUM(D15:D17)</f>
        <v>0</v>
      </c>
      <c r="E18" s="591">
        <f t="shared" si="6"/>
        <v>0</v>
      </c>
      <c r="F18" s="591">
        <f t="shared" si="6"/>
        <v>0</v>
      </c>
      <c r="G18" s="603">
        <f t="shared" si="6"/>
        <v>0</v>
      </c>
      <c r="I18" s="592">
        <f t="shared" si="0"/>
        <v>0</v>
      </c>
      <c r="J18" s="593"/>
      <c r="L18" s="592">
        <f t="shared" si="1"/>
        <v>0</v>
      </c>
      <c r="M18" s="593"/>
    </row>
    <row r="19" spans="1:14" ht="13.2" x14ac:dyDescent="0.25">
      <c r="A19" s="569"/>
      <c r="B19" s="594"/>
      <c r="C19" s="571"/>
      <c r="D19" s="595"/>
      <c r="E19" s="595"/>
      <c r="F19" s="595"/>
      <c r="G19" s="595"/>
      <c r="I19" s="592">
        <f t="shared" si="0"/>
        <v>0</v>
      </c>
      <c r="J19" s="593"/>
      <c r="L19" s="592">
        <f t="shared" si="1"/>
        <v>0</v>
      </c>
      <c r="M19" s="593"/>
    </row>
    <row r="20" spans="1:14" ht="13.2" x14ac:dyDescent="0.25">
      <c r="A20" s="569"/>
      <c r="B20" s="594" t="s">
        <v>27</v>
      </c>
      <c r="C20" s="571"/>
      <c r="D20" s="606">
        <v>-197472</v>
      </c>
      <c r="E20" s="606">
        <v>-197484</v>
      </c>
      <c r="F20" s="595">
        <v>-197478</v>
      </c>
      <c r="G20" s="595">
        <v>-193608</v>
      </c>
      <c r="I20" s="592">
        <f t="shared" si="0"/>
        <v>12</v>
      </c>
      <c r="J20" s="593">
        <f>+I20/E20</f>
        <v>-6.0764416357780884E-5</v>
      </c>
      <c r="L20" s="592">
        <f t="shared" si="1"/>
        <v>6</v>
      </c>
      <c r="M20" s="593">
        <f>+L20/F20</f>
        <v>-3.0383131285510285E-5</v>
      </c>
    </row>
    <row r="21" spans="1:14" ht="13.2" x14ac:dyDescent="0.25">
      <c r="A21" s="569"/>
      <c r="B21" s="594" t="s">
        <v>28</v>
      </c>
      <c r="C21" s="571"/>
      <c r="D21" s="606">
        <v>-329076</v>
      </c>
      <c r="E21" s="606">
        <v>-329172</v>
      </c>
      <c r="F21" s="595">
        <v>-329176</v>
      </c>
      <c r="G21" s="595">
        <v>-322680</v>
      </c>
      <c r="I21" s="592">
        <f t="shared" si="0"/>
        <v>96</v>
      </c>
      <c r="J21" s="593">
        <f>+I21/E21</f>
        <v>-2.9164084430024427E-4</v>
      </c>
      <c r="L21" s="592">
        <f t="shared" si="1"/>
        <v>100</v>
      </c>
      <c r="M21" s="593">
        <f>+L21/F21</f>
        <v>-3.0378885459450263E-4</v>
      </c>
    </row>
    <row r="22" spans="1:14" ht="13.8" thickBot="1" x14ac:dyDescent="0.3">
      <c r="A22" s="569"/>
      <c r="B22" s="599" t="s">
        <v>29</v>
      </c>
      <c r="C22" s="571"/>
      <c r="D22" s="607">
        <v>526548</v>
      </c>
      <c r="E22" s="607">
        <v>526656</v>
      </c>
      <c r="F22" s="600">
        <v>526654</v>
      </c>
      <c r="G22" s="608">
        <v>516288</v>
      </c>
      <c r="I22" s="601">
        <f t="shared" si="0"/>
        <v>-108</v>
      </c>
      <c r="J22" s="602">
        <f>+I22/E22</f>
        <v>-2.0506744440393728E-4</v>
      </c>
      <c r="L22" s="601">
        <f t="shared" si="1"/>
        <v>-106</v>
      </c>
      <c r="M22" s="602">
        <f>+L22/F22</f>
        <v>-2.0127066347165311E-4</v>
      </c>
    </row>
    <row r="23" spans="1:14" ht="13.2" x14ac:dyDescent="0.25">
      <c r="A23" s="570"/>
      <c r="B23" s="589" t="s">
        <v>30</v>
      </c>
      <c r="C23" s="590"/>
      <c r="D23" s="591">
        <f t="shared" ref="D23:G23" si="7">SUM(D20:D22)</f>
        <v>0</v>
      </c>
      <c r="E23" s="591">
        <f t="shared" si="7"/>
        <v>0</v>
      </c>
      <c r="F23" s="591">
        <f t="shared" si="7"/>
        <v>0</v>
      </c>
      <c r="G23" s="591">
        <f t="shared" si="7"/>
        <v>0</v>
      </c>
      <c r="I23" s="592">
        <f t="shared" si="0"/>
        <v>0</v>
      </c>
      <c r="J23" s="593"/>
      <c r="L23" s="592">
        <f t="shared" si="1"/>
        <v>0</v>
      </c>
      <c r="M23" s="593"/>
    </row>
    <row r="24" spans="1:14" ht="13.2" x14ac:dyDescent="0.25">
      <c r="A24" s="569"/>
      <c r="B24" s="594"/>
      <c r="C24" s="571"/>
      <c r="D24" s="609"/>
      <c r="E24" s="609"/>
      <c r="F24" s="609"/>
      <c r="G24" s="609"/>
      <c r="I24" s="592">
        <f t="shared" si="0"/>
        <v>0</v>
      </c>
      <c r="J24" s="593"/>
      <c r="L24" s="592">
        <f t="shared" si="1"/>
        <v>0</v>
      </c>
      <c r="M24" s="593"/>
    </row>
    <row r="25" spans="1:14" ht="13.8" thickBot="1" x14ac:dyDescent="0.3">
      <c r="A25" s="569"/>
      <c r="B25" s="610" t="s">
        <v>31</v>
      </c>
      <c r="C25" s="590"/>
      <c r="D25" s="611">
        <f t="shared" ref="D25:G25" si="8">D6-D13-D18-D23</f>
        <v>-0.27502598706632853</v>
      </c>
      <c r="E25" s="611">
        <f t="shared" si="8"/>
        <v>-28047.89000000013</v>
      </c>
      <c r="F25" s="611">
        <f t="shared" si="8"/>
        <v>8054.7400000002235</v>
      </c>
      <c r="G25" s="611">
        <f t="shared" si="8"/>
        <v>-174100.9040000001</v>
      </c>
      <c r="I25" s="612">
        <f t="shared" si="0"/>
        <v>28047.614974013064</v>
      </c>
      <c r="J25" s="613">
        <f>+I25/E25</f>
        <v>-0.99999019441437242</v>
      </c>
      <c r="L25" s="612">
        <f t="shared" si="1"/>
        <v>-8055.0150259872898</v>
      </c>
      <c r="M25" s="613">
        <f>+L25/F25</f>
        <v>-1.000034144613863</v>
      </c>
    </row>
    <row r="26" spans="1:14" ht="13.2" x14ac:dyDescent="0.25">
      <c r="A26" s="569"/>
      <c r="B26" s="570"/>
      <c r="C26" s="590"/>
      <c r="D26" s="614"/>
      <c r="E26" s="614"/>
      <c r="F26" s="615"/>
      <c r="G26" s="614"/>
      <c r="I26" s="616"/>
      <c r="J26" s="617"/>
      <c r="L26" s="616"/>
      <c r="M26" s="617"/>
    </row>
    <row r="27" spans="1:14" ht="15" thickBot="1" x14ac:dyDescent="0.35">
      <c r="A27" s="569"/>
      <c r="B27" s="618"/>
      <c r="C27" s="619"/>
      <c r="D27" s="615"/>
      <c r="E27" s="615"/>
      <c r="G27" s="615"/>
      <c r="I27" s="571"/>
      <c r="J27" s="620"/>
      <c r="L27" s="571"/>
      <c r="M27" s="620"/>
    </row>
    <row r="28" spans="1:14" ht="13.8" thickBot="1" x14ac:dyDescent="0.3">
      <c r="A28" s="569"/>
      <c r="B28" s="621" t="s">
        <v>35</v>
      </c>
      <c r="C28" s="590"/>
      <c r="D28" s="614"/>
      <c r="E28" s="614"/>
      <c r="F28" s="614"/>
      <c r="G28" s="614"/>
      <c r="I28" s="622"/>
      <c r="J28" s="623"/>
      <c r="L28" s="622"/>
      <c r="M28" s="623"/>
    </row>
    <row r="29" spans="1:14" ht="13.8" thickBot="1" x14ac:dyDescent="0.3">
      <c r="A29" s="569"/>
      <c r="B29" s="618"/>
      <c r="C29" s="619"/>
      <c r="D29" s="624"/>
      <c r="E29" s="615"/>
      <c r="F29" s="615"/>
      <c r="G29" s="615"/>
      <c r="I29" s="625"/>
      <c r="J29" s="626"/>
      <c r="L29" s="625"/>
      <c r="M29" s="626"/>
    </row>
    <row r="30" spans="1:14" ht="13.8" thickBot="1" x14ac:dyDescent="0.3">
      <c r="A30" s="569"/>
      <c r="B30" s="627" t="s">
        <v>37</v>
      </c>
      <c r="C30" s="590"/>
      <c r="D30" s="580" t="str">
        <f>D3</f>
        <v>BUDGET 2025</v>
      </c>
      <c r="E30" s="580" t="str">
        <f>E3</f>
        <v>ACTUAL 2024</v>
      </c>
      <c r="F30" s="580" t="s">
        <v>371</v>
      </c>
      <c r="G30" s="580" t="s">
        <v>231</v>
      </c>
      <c r="I30" s="581" t="str">
        <f>I3</f>
        <v>B 2025 vs Act 2024</v>
      </c>
      <c r="J30" s="628" t="str">
        <f>+J$3</f>
        <v>%</v>
      </c>
      <c r="L30" s="581" t="str">
        <f>L3</f>
        <v>B 2025 vs Act 2023</v>
      </c>
      <c r="M30" s="582" t="s">
        <v>142</v>
      </c>
    </row>
    <row r="31" spans="1:14" s="757" customFormat="1" ht="76.8" customHeight="1" x14ac:dyDescent="0.3">
      <c r="A31" s="759"/>
      <c r="B31" s="760" t="s">
        <v>38</v>
      </c>
      <c r="C31" s="761"/>
      <c r="D31" s="762">
        <f>'[3]Income Statement'!R53</f>
        <v>2999950.0799999996</v>
      </c>
      <c r="E31" s="762">
        <v>2638335.15</v>
      </c>
      <c r="F31" s="762">
        <v>2724978</v>
      </c>
      <c r="G31" s="762">
        <v>2471484</v>
      </c>
      <c r="H31" s="763"/>
      <c r="I31" s="764">
        <f t="shared" ref="I31:I40" si="9">D31-E31</f>
        <v>361614.9299999997</v>
      </c>
      <c r="J31" s="765">
        <f t="shared" ref="J31:J40" si="10">+I31/E31</f>
        <v>0.13706178686206705</v>
      </c>
      <c r="K31" s="763"/>
      <c r="L31" s="764">
        <f t="shared" ref="L31:L40" si="11">D31-F31</f>
        <v>274972.07999999961</v>
      </c>
      <c r="M31" s="765">
        <f t="shared" ref="M31:M40" si="12">+L31/F31</f>
        <v>0.10090799999119245</v>
      </c>
      <c r="N31" s="763"/>
    </row>
    <row r="32" spans="1:14" s="768" customFormat="1" ht="25.05" customHeight="1" x14ac:dyDescent="0.25">
      <c r="A32" s="766"/>
      <c r="B32" s="775" t="s">
        <v>39</v>
      </c>
      <c r="C32" s="769"/>
      <c r="D32" s="770">
        <f>'[3]Income Statement'!R54</f>
        <v>80221.440000000002</v>
      </c>
      <c r="E32" s="770">
        <v>77136</v>
      </c>
      <c r="F32" s="770">
        <v>77171</v>
      </c>
      <c r="G32" s="770">
        <v>70140</v>
      </c>
      <c r="H32" s="771"/>
      <c r="I32" s="772">
        <f t="shared" si="9"/>
        <v>3085.4400000000023</v>
      </c>
      <c r="J32" s="773">
        <f t="shared" si="10"/>
        <v>4.0000000000000029E-2</v>
      </c>
      <c r="K32" s="771"/>
      <c r="L32" s="772">
        <f t="shared" si="11"/>
        <v>3050.4400000000023</v>
      </c>
      <c r="M32" s="774">
        <f t="shared" si="12"/>
        <v>3.9528320223918341E-2</v>
      </c>
      <c r="N32" s="767"/>
    </row>
    <row r="33" spans="1:13" ht="25.05" customHeight="1" x14ac:dyDescent="0.25">
      <c r="A33" s="569"/>
      <c r="B33" s="760" t="s">
        <v>41</v>
      </c>
      <c r="C33" s="761"/>
      <c r="D33" s="776">
        <f>'[3]Income Statement'!R55</f>
        <v>548666.15</v>
      </c>
      <c r="E33" s="776">
        <v>739262.40999999992</v>
      </c>
      <c r="F33" s="776">
        <v>445719.14</v>
      </c>
      <c r="G33" s="776">
        <v>368600</v>
      </c>
      <c r="H33" s="763"/>
      <c r="I33" s="764">
        <f t="shared" si="9"/>
        <v>-190596.25999999989</v>
      </c>
      <c r="J33" s="765">
        <f t="shared" si="10"/>
        <v>-0.25781949335148791</v>
      </c>
      <c r="K33" s="763"/>
      <c r="L33" s="764">
        <f t="shared" si="11"/>
        <v>102947.01000000001</v>
      </c>
      <c r="M33" s="765">
        <f t="shared" si="12"/>
        <v>0.23096834028711444</v>
      </c>
    </row>
    <row r="34" spans="1:13" ht="13.2" x14ac:dyDescent="0.25">
      <c r="A34" s="569"/>
      <c r="B34" s="594" t="s">
        <v>42</v>
      </c>
      <c r="C34" s="571"/>
      <c r="D34" s="595">
        <f>'[3]Income Statement'!R56</f>
        <v>20770</v>
      </c>
      <c r="E34" s="595">
        <v>14487.29</v>
      </c>
      <c r="F34" s="595">
        <v>19288.63</v>
      </c>
      <c r="G34" s="595">
        <v>20497.260000000002</v>
      </c>
      <c r="I34" s="630">
        <f t="shared" si="9"/>
        <v>6282.7099999999991</v>
      </c>
      <c r="J34" s="631">
        <f t="shared" si="10"/>
        <v>0.43367047943404174</v>
      </c>
      <c r="L34" s="630">
        <f t="shared" si="11"/>
        <v>1481.369999999999</v>
      </c>
      <c r="M34" s="631">
        <f t="shared" si="12"/>
        <v>7.680016673034834E-2</v>
      </c>
    </row>
    <row r="35" spans="1:13" ht="13.2" x14ac:dyDescent="0.25">
      <c r="A35" s="569"/>
      <c r="B35" s="594" t="s">
        <v>43</v>
      </c>
      <c r="C35" s="571"/>
      <c r="D35" s="595">
        <f>'[3]Income Statement'!R57</f>
        <v>67359.60000000002</v>
      </c>
      <c r="E35" s="595">
        <v>50931.51999999999</v>
      </c>
      <c r="F35" s="595">
        <v>64157.05999999999</v>
      </c>
      <c r="G35" s="595">
        <v>66349.929999999993</v>
      </c>
      <c r="I35" s="630">
        <f t="shared" si="9"/>
        <v>16428.080000000031</v>
      </c>
      <c r="J35" s="631">
        <f t="shared" si="10"/>
        <v>0.32255232123447392</v>
      </c>
      <c r="L35" s="630">
        <f t="shared" si="11"/>
        <v>3202.54000000003</v>
      </c>
      <c r="M35" s="631">
        <f t="shared" si="12"/>
        <v>4.991718760180143E-2</v>
      </c>
    </row>
    <row r="36" spans="1:13" ht="13.2" x14ac:dyDescent="0.25">
      <c r="A36" s="569"/>
      <c r="B36" s="594" t="s">
        <v>44</v>
      </c>
      <c r="C36" s="571"/>
      <c r="D36" s="595">
        <f>'[3]Income Statement'!R58</f>
        <v>18000</v>
      </c>
      <c r="E36" s="595">
        <v>20175.84</v>
      </c>
      <c r="F36" s="595">
        <v>18000.940000000002</v>
      </c>
      <c r="G36" s="595">
        <v>21635</v>
      </c>
      <c r="I36" s="630">
        <f t="shared" si="9"/>
        <v>-2175.84</v>
      </c>
      <c r="J36" s="631">
        <f t="shared" si="10"/>
        <v>-0.1078438369852259</v>
      </c>
      <c r="L36" s="630">
        <f t="shared" si="11"/>
        <v>-0.94000000000232831</v>
      </c>
      <c r="M36" s="631">
        <f t="shared" si="12"/>
        <v>-5.2219495204268673E-5</v>
      </c>
    </row>
    <row r="37" spans="1:13" ht="13.2" x14ac:dyDescent="0.25">
      <c r="A37" s="569"/>
      <c r="B37" s="594" t="s">
        <v>45</v>
      </c>
      <c r="C37" s="571"/>
      <c r="D37" s="595">
        <f>'[3]Income Statement'!R59</f>
        <v>420</v>
      </c>
      <c r="E37" s="595">
        <v>-1460.6300000000006</v>
      </c>
      <c r="F37" s="595">
        <v>378.73000000000047</v>
      </c>
      <c r="G37" s="595">
        <v>1625.0400000000002</v>
      </c>
      <c r="I37" s="630">
        <f t="shared" si="9"/>
        <v>1880.6300000000006</v>
      </c>
      <c r="J37" s="631">
        <f t="shared" si="10"/>
        <v>-1.2875471543101265</v>
      </c>
      <c r="L37" s="630">
        <f t="shared" si="11"/>
        <v>41.269999999999527</v>
      </c>
      <c r="M37" s="631">
        <f t="shared" si="12"/>
        <v>0.10896945053203991</v>
      </c>
    </row>
    <row r="38" spans="1:13" ht="13.2" x14ac:dyDescent="0.25">
      <c r="A38" s="569"/>
      <c r="B38" s="594" t="s">
        <v>46</v>
      </c>
      <c r="C38" s="571"/>
      <c r="D38" s="595">
        <f>'[3]Income Statement'!R60</f>
        <v>8400</v>
      </c>
      <c r="E38" s="595">
        <v>7974.6400000000049</v>
      </c>
      <c r="F38" s="595">
        <v>8503.2400000000016</v>
      </c>
      <c r="G38" s="595">
        <v>0</v>
      </c>
      <c r="I38" s="630">
        <f t="shared" si="9"/>
        <v>425.35999999999513</v>
      </c>
      <c r="J38" s="631">
        <f t="shared" si="10"/>
        <v>5.3339084899129599E-2</v>
      </c>
      <c r="L38" s="630">
        <f t="shared" si="11"/>
        <v>-103.2400000000016</v>
      </c>
      <c r="M38" s="631">
        <f t="shared" si="12"/>
        <v>-1.2141254392443537E-2</v>
      </c>
    </row>
    <row r="39" spans="1:13" ht="13.2" x14ac:dyDescent="0.25">
      <c r="A39" s="569"/>
      <c r="B39" s="599" t="s">
        <v>47</v>
      </c>
      <c r="C39" s="571"/>
      <c r="D39" s="600">
        <f>'[3]Income Statement'!R61</f>
        <v>6480</v>
      </c>
      <c r="E39" s="600">
        <v>6492.7</v>
      </c>
      <c r="F39" s="600">
        <v>6224.13</v>
      </c>
      <c r="G39" s="600">
        <v>205.97</v>
      </c>
      <c r="I39" s="632">
        <f t="shared" si="9"/>
        <v>-12.699999999999818</v>
      </c>
      <c r="J39" s="633">
        <f t="shared" si="10"/>
        <v>-1.9560429405331863E-3</v>
      </c>
      <c r="L39" s="632">
        <f t="shared" si="11"/>
        <v>255.86999999999989</v>
      </c>
      <c r="M39" s="633">
        <f t="shared" si="12"/>
        <v>4.1109359862342189E-2</v>
      </c>
    </row>
    <row r="40" spans="1:13" ht="13.8" thickBot="1" x14ac:dyDescent="0.3">
      <c r="A40" s="569"/>
      <c r="B40" s="634" t="s">
        <v>16</v>
      </c>
      <c r="C40" s="635"/>
      <c r="D40" s="636">
        <f t="shared" ref="D40:G40" si="13">SUM(D31:D39)</f>
        <v>3750267.2699999996</v>
      </c>
      <c r="E40" s="636">
        <f t="shared" si="13"/>
        <v>3553334.92</v>
      </c>
      <c r="F40" s="636">
        <f t="shared" si="13"/>
        <v>3364420.87</v>
      </c>
      <c r="G40" s="636">
        <f t="shared" si="13"/>
        <v>3020537.2</v>
      </c>
      <c r="I40" s="637">
        <f t="shared" si="9"/>
        <v>196932.34999999963</v>
      </c>
      <c r="J40" s="638">
        <f t="shared" si="10"/>
        <v>5.5421837353851137E-2</v>
      </c>
      <c r="L40" s="637">
        <f t="shared" si="11"/>
        <v>385846.39999999944</v>
      </c>
      <c r="M40" s="638">
        <f t="shared" si="12"/>
        <v>0.11468434387639481</v>
      </c>
    </row>
    <row r="41" spans="1:13" ht="13.8" thickBot="1" x14ac:dyDescent="0.3">
      <c r="A41" s="569"/>
      <c r="B41" s="618"/>
      <c r="C41" s="619"/>
      <c r="D41" s="615"/>
      <c r="E41" s="615"/>
      <c r="F41" s="615"/>
      <c r="G41" s="615"/>
      <c r="I41" s="639"/>
      <c r="J41" s="640"/>
      <c r="L41" s="639"/>
      <c r="M41" s="640"/>
    </row>
    <row r="42" spans="1:13" ht="13.8" thickBot="1" x14ac:dyDescent="0.3">
      <c r="A42" s="569"/>
      <c r="B42" s="621" t="s">
        <v>48</v>
      </c>
      <c r="C42" s="590"/>
      <c r="D42" s="614"/>
      <c r="E42" s="614"/>
      <c r="F42" s="614"/>
      <c r="G42" s="614"/>
      <c r="I42" s="641"/>
      <c r="J42" s="642"/>
      <c r="L42" s="641"/>
      <c r="M42" s="642"/>
    </row>
    <row r="43" spans="1:13" ht="13.2" x14ac:dyDescent="0.25">
      <c r="A43" s="569"/>
      <c r="B43" s="777" t="s">
        <v>49</v>
      </c>
      <c r="C43" s="761"/>
      <c r="D43" s="762">
        <f>'[3]Income Statement'!R70</f>
        <v>276535.75933333329</v>
      </c>
      <c r="E43" s="762">
        <v>210772.32</v>
      </c>
      <c r="F43" s="762">
        <v>247197.2</v>
      </c>
      <c r="G43" s="762">
        <v>217644.37</v>
      </c>
      <c r="H43" s="763"/>
      <c r="I43" s="778">
        <f t="shared" ref="I43:I50" si="14">D43-E43</f>
        <v>65763.439333333285</v>
      </c>
      <c r="J43" s="779">
        <f>+I43/E43</f>
        <v>0.31201174486921851</v>
      </c>
      <c r="K43" s="763"/>
      <c r="L43" s="778">
        <f t="shared" ref="L43:L50" si="15">D43-F43</f>
        <v>29338.55933333328</v>
      </c>
      <c r="M43" s="779">
        <f>+L43/F43</f>
        <v>0.11868483677538937</v>
      </c>
    </row>
    <row r="44" spans="1:13" ht="13.2" x14ac:dyDescent="0.25">
      <c r="A44" s="569"/>
      <c r="B44" s="594" t="s">
        <v>50</v>
      </c>
      <c r="C44" s="571"/>
      <c r="D44" s="606">
        <f>'[3]Income Statement'!R71</f>
        <v>22512</v>
      </c>
      <c r="E44" s="606">
        <v>46837.94</v>
      </c>
      <c r="F44" s="595">
        <v>24442.61</v>
      </c>
      <c r="G44" s="595">
        <v>25592.959999999999</v>
      </c>
      <c r="I44" s="592">
        <f t="shared" si="14"/>
        <v>-24325.940000000002</v>
      </c>
      <c r="J44" s="593">
        <f>+I44/E44</f>
        <v>-0.5193640027721117</v>
      </c>
      <c r="K44" s="646"/>
      <c r="L44" s="592">
        <f t="shared" si="15"/>
        <v>-1930.6100000000006</v>
      </c>
      <c r="M44" s="593">
        <f>+L44/F44</f>
        <v>-7.8985427497309024E-2</v>
      </c>
    </row>
    <row r="45" spans="1:13" ht="13.2" x14ac:dyDescent="0.25">
      <c r="A45" s="569"/>
      <c r="B45" s="594" t="s">
        <v>51</v>
      </c>
      <c r="C45" s="571"/>
      <c r="D45" s="595">
        <f>'[3]Income Statement'!R72</f>
        <v>22623.599999999999</v>
      </c>
      <c r="E45" s="595">
        <v>15436.739999999998</v>
      </c>
      <c r="F45" s="595">
        <v>21745.78</v>
      </c>
      <c r="G45" s="595">
        <v>20319.72</v>
      </c>
      <c r="I45" s="592">
        <f t="shared" si="14"/>
        <v>7186.8600000000006</v>
      </c>
      <c r="J45" s="593">
        <f>+I45/E45</f>
        <v>0.46556850734028049</v>
      </c>
      <c r="L45" s="592">
        <f t="shared" si="15"/>
        <v>877.81999999999971</v>
      </c>
      <c r="M45" s="593">
        <f>+L45/F45</f>
        <v>4.0367372428121676E-2</v>
      </c>
    </row>
    <row r="46" spans="1:13" ht="13.2" x14ac:dyDescent="0.25">
      <c r="A46" s="569"/>
      <c r="B46" s="594" t="s">
        <v>52</v>
      </c>
      <c r="C46" s="571"/>
      <c r="D46" s="595"/>
      <c r="E46" s="595"/>
      <c r="F46" s="595"/>
      <c r="G46" s="595"/>
      <c r="I46" s="592">
        <f t="shared" si="14"/>
        <v>0</v>
      </c>
      <c r="J46" s="593"/>
      <c r="L46" s="592">
        <f t="shared" si="15"/>
        <v>0</v>
      </c>
      <c r="M46" s="593"/>
    </row>
    <row r="47" spans="1:13" ht="13.2" x14ac:dyDescent="0.25">
      <c r="A47" s="569"/>
      <c r="B47" s="594" t="s">
        <v>53</v>
      </c>
      <c r="C47" s="571"/>
      <c r="D47" s="595"/>
      <c r="E47" s="595"/>
      <c r="F47" s="595"/>
      <c r="G47" s="595"/>
      <c r="I47" s="592">
        <f t="shared" si="14"/>
        <v>0</v>
      </c>
      <c r="J47" s="593"/>
      <c r="L47" s="592">
        <f t="shared" si="15"/>
        <v>0</v>
      </c>
      <c r="M47" s="593"/>
    </row>
    <row r="48" spans="1:13" ht="13.2" x14ac:dyDescent="0.25">
      <c r="A48" s="569"/>
      <c r="B48" s="594" t="s">
        <v>54</v>
      </c>
      <c r="C48" s="571"/>
      <c r="D48" s="595">
        <f>'[3]Income Statement'!R74</f>
        <v>31362.277045333329</v>
      </c>
      <c r="E48" s="595">
        <v>29021</v>
      </c>
      <c r="F48" s="595">
        <v>30470.61</v>
      </c>
      <c r="G48" s="595">
        <v>23029.069999999996</v>
      </c>
      <c r="I48" s="592">
        <f t="shared" si="14"/>
        <v>2341.2770453333287</v>
      </c>
      <c r="J48" s="593">
        <f>+I48/E48</f>
        <v>8.0675271194422277E-2</v>
      </c>
      <c r="L48" s="592">
        <f t="shared" si="15"/>
        <v>891.66704533332813</v>
      </c>
      <c r="M48" s="593">
        <f>+L48/F48</f>
        <v>2.9263183288202241E-2</v>
      </c>
    </row>
    <row r="49" spans="1:13" ht="13.2" x14ac:dyDescent="0.25">
      <c r="A49" s="569"/>
      <c r="B49" s="599"/>
      <c r="C49" s="571"/>
      <c r="D49" s="600"/>
      <c r="E49" s="600"/>
      <c r="F49" s="600"/>
      <c r="G49" s="600"/>
      <c r="I49" s="601">
        <f t="shared" si="14"/>
        <v>0</v>
      </c>
      <c r="J49" s="602"/>
      <c r="L49" s="601">
        <f t="shared" si="15"/>
        <v>0</v>
      </c>
      <c r="M49" s="602"/>
    </row>
    <row r="50" spans="1:13" ht="13.8" thickBot="1" x14ac:dyDescent="0.3">
      <c r="A50" s="569"/>
      <c r="B50" s="634" t="s">
        <v>55</v>
      </c>
      <c r="C50" s="590"/>
      <c r="D50" s="647">
        <f t="shared" ref="D50:G50" si="16">SUM(D43:D48)</f>
        <v>353033.63637866662</v>
      </c>
      <c r="E50" s="647">
        <f t="shared" si="16"/>
        <v>302068</v>
      </c>
      <c r="F50" s="647">
        <f t="shared" si="16"/>
        <v>323856.19999999995</v>
      </c>
      <c r="G50" s="647">
        <f t="shared" si="16"/>
        <v>286586.12</v>
      </c>
      <c r="I50" s="612">
        <f t="shared" si="14"/>
        <v>50965.636378666619</v>
      </c>
      <c r="J50" s="613">
        <f>+I50/E50</f>
        <v>0.16872239488680238</v>
      </c>
      <c r="L50" s="612">
        <f t="shared" si="15"/>
        <v>29177.436378666665</v>
      </c>
      <c r="M50" s="613">
        <f>+L50/F50</f>
        <v>9.0093802059885431E-2</v>
      </c>
    </row>
    <row r="51" spans="1:13" ht="13.8" thickBot="1" x14ac:dyDescent="0.3">
      <c r="A51" s="569"/>
      <c r="B51" s="618"/>
      <c r="C51" s="619"/>
      <c r="D51" s="615"/>
      <c r="E51" s="615"/>
      <c r="F51" s="615"/>
      <c r="G51" s="615"/>
      <c r="I51" s="639"/>
      <c r="J51" s="640"/>
      <c r="L51" s="639"/>
      <c r="M51" s="640"/>
    </row>
    <row r="52" spans="1:13" ht="13.8" thickBot="1" x14ac:dyDescent="0.3">
      <c r="A52" s="569"/>
      <c r="B52" s="621" t="s">
        <v>56</v>
      </c>
      <c r="C52" s="590"/>
      <c r="D52" s="614"/>
      <c r="E52" s="614"/>
      <c r="F52" s="614"/>
      <c r="G52" s="614"/>
      <c r="I52" s="641"/>
      <c r="J52" s="642"/>
      <c r="L52" s="641"/>
      <c r="M52" s="642"/>
    </row>
    <row r="53" spans="1:13" ht="13.2" x14ac:dyDescent="0.25">
      <c r="A53" s="569"/>
      <c r="B53" s="643" t="s">
        <v>57</v>
      </c>
      <c r="C53" s="571"/>
      <c r="D53" s="629">
        <f>'[3]Income Statement'!R80</f>
        <v>1860</v>
      </c>
      <c r="E53" s="629">
        <v>1860</v>
      </c>
      <c r="F53" s="629">
        <v>2180</v>
      </c>
      <c r="G53" s="629">
        <v>1964.2</v>
      </c>
      <c r="I53" s="644">
        <f t="shared" ref="I53:I62" si="17">D53-E53</f>
        <v>0</v>
      </c>
      <c r="J53" s="645">
        <f t="shared" ref="J53:J62" si="18">+I53/E53</f>
        <v>0</v>
      </c>
      <c r="L53" s="644">
        <f t="shared" ref="L53:L62" si="19">D53-F53</f>
        <v>-320</v>
      </c>
      <c r="M53" s="645">
        <f t="shared" ref="M53:M62" si="20">+L53/F53</f>
        <v>-0.14678899082568808</v>
      </c>
    </row>
    <row r="54" spans="1:13" ht="13.2" x14ac:dyDescent="0.25">
      <c r="A54" s="569"/>
      <c r="B54" s="760" t="s">
        <v>58</v>
      </c>
      <c r="C54" s="761"/>
      <c r="D54" s="776">
        <f>'[3]Income Statement'!R81</f>
        <v>39540.416666666664</v>
      </c>
      <c r="E54" s="776">
        <v>24537</v>
      </c>
      <c r="F54" s="776">
        <v>24668.339999999997</v>
      </c>
      <c r="G54" s="776">
        <v>24191.35</v>
      </c>
      <c r="H54" s="763"/>
      <c r="I54" s="780">
        <f t="shared" si="17"/>
        <v>15003.416666666664</v>
      </c>
      <c r="J54" s="781">
        <f t="shared" si="18"/>
        <v>0.61146092295988363</v>
      </c>
      <c r="K54" s="763"/>
      <c r="L54" s="780">
        <f t="shared" si="19"/>
        <v>14872.076666666668</v>
      </c>
      <c r="M54" s="781">
        <f t="shared" si="20"/>
        <v>0.60288112887477108</v>
      </c>
    </row>
    <row r="55" spans="1:13" ht="13.2" x14ac:dyDescent="0.25">
      <c r="A55" s="569"/>
      <c r="B55" s="788" t="s">
        <v>59</v>
      </c>
      <c r="C55" s="782"/>
      <c r="D55" s="783">
        <f>'[3]Income Statement'!R82</f>
        <v>140794</v>
      </c>
      <c r="E55" s="784">
        <v>135982.90999999997</v>
      </c>
      <c r="F55" s="783">
        <v>53441.47</v>
      </c>
      <c r="G55" s="783">
        <v>54466.030000000006</v>
      </c>
      <c r="H55" s="785"/>
      <c r="I55" s="786">
        <f t="shared" si="17"/>
        <v>4811.0900000000256</v>
      </c>
      <c r="J55" s="787">
        <f t="shared" si="18"/>
        <v>3.5380107691474073E-2</v>
      </c>
      <c r="K55" s="785"/>
      <c r="L55" s="786">
        <f t="shared" si="19"/>
        <v>87352.53</v>
      </c>
      <c r="M55" s="787">
        <f t="shared" si="20"/>
        <v>1.6345457937440717</v>
      </c>
    </row>
    <row r="56" spans="1:13" ht="13.2" x14ac:dyDescent="0.25">
      <c r="A56" s="569"/>
      <c r="B56" s="594" t="s">
        <v>61</v>
      </c>
      <c r="C56" s="571"/>
      <c r="D56" s="595">
        <f>'[3]Income Statement'!R83</f>
        <v>606</v>
      </c>
      <c r="E56" s="595">
        <v>1421.74</v>
      </c>
      <c r="F56" s="595">
        <v>841.93000000000006</v>
      </c>
      <c r="G56" s="595">
        <v>688.66000000000008</v>
      </c>
      <c r="I56" s="592">
        <f t="shared" si="17"/>
        <v>-815.74</v>
      </c>
      <c r="J56" s="593">
        <f t="shared" si="18"/>
        <v>-0.57376172858609875</v>
      </c>
      <c r="L56" s="592">
        <f t="shared" si="19"/>
        <v>-235.93000000000006</v>
      </c>
      <c r="M56" s="593">
        <f t="shared" si="20"/>
        <v>-0.28022519686909841</v>
      </c>
    </row>
    <row r="57" spans="1:13" ht="13.2" x14ac:dyDescent="0.25">
      <c r="A57" s="569"/>
      <c r="B57" s="594" t="s">
        <v>62</v>
      </c>
      <c r="C57" s="571"/>
      <c r="D57" s="595">
        <f>'[3]Income Statement'!R84</f>
        <v>15588</v>
      </c>
      <c r="E57" s="595">
        <v>10656.820000000002</v>
      </c>
      <c r="F57" s="595">
        <v>14504.15</v>
      </c>
      <c r="G57" s="595">
        <v>30254</v>
      </c>
      <c r="I57" s="592">
        <f t="shared" si="17"/>
        <v>4931.1799999999985</v>
      </c>
      <c r="J57" s="593">
        <f t="shared" si="18"/>
        <v>0.46272527827250509</v>
      </c>
      <c r="L57" s="592">
        <f t="shared" si="19"/>
        <v>1083.8500000000004</v>
      </c>
      <c r="M57" s="593">
        <f t="shared" si="20"/>
        <v>7.4726888511219225E-2</v>
      </c>
    </row>
    <row r="58" spans="1:13" ht="13.2" x14ac:dyDescent="0.25">
      <c r="A58" s="569"/>
      <c r="B58" s="594" t="s">
        <v>63</v>
      </c>
      <c r="C58" s="571"/>
      <c r="D58" s="595">
        <f>'[3]Income Statement'!R85</f>
        <v>51912</v>
      </c>
      <c r="E58" s="595">
        <v>56507.56</v>
      </c>
      <c r="F58" s="595">
        <v>51912</v>
      </c>
      <c r="G58" s="595">
        <v>49632.54</v>
      </c>
      <c r="I58" s="592">
        <f t="shared" si="17"/>
        <v>-4595.5599999999977</v>
      </c>
      <c r="J58" s="593">
        <f t="shared" si="18"/>
        <v>-8.1326463220142545E-2</v>
      </c>
      <c r="L58" s="592">
        <f t="shared" si="19"/>
        <v>0</v>
      </c>
      <c r="M58" s="593">
        <f t="shared" si="20"/>
        <v>0</v>
      </c>
    </row>
    <row r="59" spans="1:13" ht="25.05" customHeight="1" x14ac:dyDescent="0.25">
      <c r="A59" s="569"/>
      <c r="B59" s="760" t="s">
        <v>25</v>
      </c>
      <c r="C59" s="761"/>
      <c r="D59" s="776">
        <f>'[3]Income Statement'!R86</f>
        <v>777876.60000000009</v>
      </c>
      <c r="E59" s="776">
        <v>755220.7200000002</v>
      </c>
      <c r="F59" s="776">
        <v>733224</v>
      </c>
      <c r="G59" s="776">
        <v>698304</v>
      </c>
      <c r="H59" s="763"/>
      <c r="I59" s="780">
        <f t="shared" si="17"/>
        <v>22655.879999999888</v>
      </c>
      <c r="J59" s="781">
        <f t="shared" si="18"/>
        <v>2.9999018035416034E-2</v>
      </c>
      <c r="K59" s="763"/>
      <c r="L59" s="780">
        <f t="shared" si="19"/>
        <v>44652.600000000093</v>
      </c>
      <c r="M59" s="781">
        <f t="shared" si="20"/>
        <v>6.0898988576478803E-2</v>
      </c>
    </row>
    <row r="60" spans="1:13" ht="13.2" x14ac:dyDescent="0.25">
      <c r="A60" s="569"/>
      <c r="B60" s="594" t="s">
        <v>64</v>
      </c>
      <c r="C60" s="571"/>
      <c r="D60" s="595">
        <f>'[3]Income Statement'!R87</f>
        <v>10716</v>
      </c>
      <c r="E60" s="595">
        <v>7301.6799999999994</v>
      </c>
      <c r="F60" s="595">
        <v>13385.77</v>
      </c>
      <c r="G60" s="595">
        <v>24006.65</v>
      </c>
      <c r="I60" s="592">
        <f t="shared" si="17"/>
        <v>3414.3200000000006</v>
      </c>
      <c r="J60" s="593">
        <f t="shared" si="18"/>
        <v>0.46760745472274884</v>
      </c>
      <c r="L60" s="592">
        <f t="shared" si="19"/>
        <v>-2669.7700000000004</v>
      </c>
      <c r="M60" s="593">
        <f t="shared" si="20"/>
        <v>-0.1994483694251433</v>
      </c>
    </row>
    <row r="61" spans="1:13" ht="13.2" x14ac:dyDescent="0.25">
      <c r="A61" s="569"/>
      <c r="B61" s="599" t="s">
        <v>66</v>
      </c>
      <c r="C61" s="571"/>
      <c r="D61" s="595">
        <f>'[3]Income Statement'!R88</f>
        <v>5604</v>
      </c>
      <c r="E61" s="600">
        <v>5133.37</v>
      </c>
      <c r="F61" s="600">
        <v>5600.37</v>
      </c>
      <c r="G61" s="600">
        <v>5600.04</v>
      </c>
      <c r="I61" s="601">
        <f t="shared" si="17"/>
        <v>470.63000000000011</v>
      </c>
      <c r="J61" s="602">
        <f t="shared" si="18"/>
        <v>9.1680513970354774E-2</v>
      </c>
      <c r="L61" s="601">
        <f t="shared" si="19"/>
        <v>3.6300000000001091</v>
      </c>
      <c r="M61" s="602">
        <f t="shared" si="20"/>
        <v>6.4817146009997723E-4</v>
      </c>
    </row>
    <row r="62" spans="1:13" ht="13.8" thickBot="1" x14ac:dyDescent="0.3">
      <c r="A62" s="569"/>
      <c r="B62" s="634" t="s">
        <v>67</v>
      </c>
      <c r="C62" s="590"/>
      <c r="D62" s="647">
        <f t="shared" ref="D62:G62" si="21">SUM(D53:D61)</f>
        <v>1044497.0166666667</v>
      </c>
      <c r="E62" s="647">
        <f t="shared" si="21"/>
        <v>998621.80000000028</v>
      </c>
      <c r="F62" s="647">
        <f t="shared" si="21"/>
        <v>899758.03</v>
      </c>
      <c r="G62" s="647">
        <f t="shared" si="21"/>
        <v>889107.47000000009</v>
      </c>
      <c r="I62" s="648">
        <f t="shared" si="17"/>
        <v>45875.216666666442</v>
      </c>
      <c r="J62" s="613">
        <f t="shared" si="18"/>
        <v>4.5938529147537564E-2</v>
      </c>
      <c r="L62" s="648">
        <f t="shared" si="19"/>
        <v>144738.98666666669</v>
      </c>
      <c r="M62" s="613">
        <f t="shared" si="20"/>
        <v>0.16086434556929344</v>
      </c>
    </row>
    <row r="63" spans="1:13" ht="13.8" thickBot="1" x14ac:dyDescent="0.3">
      <c r="A63" s="569"/>
      <c r="B63" s="618"/>
      <c r="C63" s="619"/>
      <c r="D63" s="615"/>
      <c r="E63" s="615"/>
      <c r="F63" s="615"/>
      <c r="G63" s="615"/>
      <c r="I63" s="649"/>
      <c r="J63" s="640"/>
      <c r="L63" s="649"/>
      <c r="M63" s="640"/>
    </row>
    <row r="64" spans="1:13" ht="13.8" thickBot="1" x14ac:dyDescent="0.3">
      <c r="A64" s="569"/>
      <c r="B64" s="621" t="s">
        <v>68</v>
      </c>
      <c r="C64" s="590"/>
      <c r="D64" s="614"/>
      <c r="E64" s="614"/>
      <c r="F64" s="614"/>
      <c r="G64" s="614"/>
      <c r="I64" s="650"/>
      <c r="J64" s="642"/>
      <c r="L64" s="650"/>
      <c r="M64" s="642"/>
    </row>
    <row r="65" spans="1:13" ht="13.8" thickBot="1" x14ac:dyDescent="0.3">
      <c r="A65" s="569"/>
      <c r="B65" s="651" t="s">
        <v>69</v>
      </c>
      <c r="C65" s="635"/>
      <c r="D65" s="652">
        <f t="shared" ref="D65:G65" si="22">D40-D50-D62</f>
        <v>2352736.6169546666</v>
      </c>
      <c r="E65" s="652">
        <f t="shared" si="22"/>
        <v>2252645.1199999996</v>
      </c>
      <c r="F65" s="652">
        <f t="shared" si="22"/>
        <v>2140806.6399999997</v>
      </c>
      <c r="G65" s="652">
        <f t="shared" si="22"/>
        <v>1844843.6099999999</v>
      </c>
      <c r="I65" s="653">
        <f>D65-E65</f>
        <v>100091.49695466692</v>
      </c>
      <c r="J65" s="654">
        <f>+I65/E65</f>
        <v>4.4432874075907229E-2</v>
      </c>
      <c r="L65" s="653">
        <f>D65-F65</f>
        <v>211929.9769546669</v>
      </c>
      <c r="M65" s="654">
        <f>+L65/F65</f>
        <v>9.8995384727817798E-2</v>
      </c>
    </row>
    <row r="66" spans="1:13" ht="13.2" x14ac:dyDescent="0.25">
      <c r="A66" s="569"/>
      <c r="B66" s="570"/>
      <c r="C66" s="590"/>
      <c r="D66" s="614"/>
      <c r="E66" s="614"/>
      <c r="F66" s="614"/>
      <c r="G66" s="614"/>
      <c r="I66" s="655"/>
      <c r="J66" s="656"/>
      <c r="L66" s="655"/>
      <c r="M66" s="656"/>
    </row>
    <row r="67" spans="1:13" ht="13.8" thickBot="1" x14ac:dyDescent="0.3">
      <c r="A67" s="569"/>
      <c r="B67" s="618"/>
      <c r="C67" s="619"/>
      <c r="D67" s="615"/>
      <c r="E67" s="615"/>
      <c r="F67" s="615"/>
      <c r="G67" s="615"/>
      <c r="I67" s="639"/>
      <c r="J67" s="640"/>
      <c r="L67" s="639"/>
      <c r="M67" s="640"/>
    </row>
    <row r="68" spans="1:13" ht="13.8" thickBot="1" x14ac:dyDescent="0.3">
      <c r="A68" s="569"/>
      <c r="B68" s="621" t="s">
        <v>70</v>
      </c>
      <c r="C68" s="590"/>
      <c r="D68" s="614"/>
      <c r="E68" s="614"/>
      <c r="F68" s="614"/>
      <c r="G68" s="614"/>
      <c r="I68" s="657"/>
      <c r="J68" s="658"/>
      <c r="L68" s="657"/>
      <c r="M68" s="658"/>
    </row>
    <row r="69" spans="1:13" ht="13.8" thickBot="1" x14ac:dyDescent="0.3">
      <c r="A69" s="569"/>
      <c r="B69" s="618"/>
      <c r="C69" s="619"/>
      <c r="D69" s="615"/>
      <c r="E69" s="615"/>
      <c r="F69" s="615"/>
      <c r="G69" s="615"/>
      <c r="I69" s="659"/>
      <c r="J69" s="626"/>
      <c r="L69" s="659"/>
      <c r="M69" s="626"/>
    </row>
    <row r="70" spans="1:13" ht="13.8" thickBot="1" x14ac:dyDescent="0.3">
      <c r="A70" s="569"/>
      <c r="B70" s="621" t="s">
        <v>48</v>
      </c>
      <c r="C70" s="590"/>
      <c r="D70" s="580" t="str">
        <f>D3</f>
        <v>BUDGET 2025</v>
      </c>
      <c r="E70" s="580" t="str">
        <f>E3</f>
        <v>ACTUAL 2024</v>
      </c>
      <c r="F70" s="580" t="s">
        <v>371</v>
      </c>
      <c r="G70" s="580" t="s">
        <v>231</v>
      </c>
      <c r="I70" s="581" t="str">
        <f>I3</f>
        <v>B 2025 vs Act 2024</v>
      </c>
      <c r="J70" s="628" t="str">
        <f>+J$3</f>
        <v>%</v>
      </c>
      <c r="L70" s="581" t="str">
        <f>L3</f>
        <v>B 2025 vs Act 2023</v>
      </c>
      <c r="M70" s="582" t="s">
        <v>142</v>
      </c>
    </row>
    <row r="71" spans="1:13" ht="25.05" customHeight="1" x14ac:dyDescent="0.25">
      <c r="A71" s="569"/>
      <c r="B71" s="760" t="s">
        <v>18</v>
      </c>
      <c r="C71" s="761"/>
      <c r="D71" s="762">
        <v>249491.44246666666</v>
      </c>
      <c r="E71" s="762">
        <v>213486.13999999998</v>
      </c>
      <c r="F71" s="762">
        <v>228761.92</v>
      </c>
      <c r="G71" s="762">
        <v>221820.35000000003</v>
      </c>
      <c r="H71" s="763"/>
      <c r="I71" s="780">
        <f t="shared" ref="I71:I80" si="23">D71-E71</f>
        <v>36005.302466666675</v>
      </c>
      <c r="J71" s="781">
        <f t="shared" ref="J71:J78" si="24">+I71/E71</f>
        <v>0.16865405157761848</v>
      </c>
      <c r="K71" s="763"/>
      <c r="L71" s="780">
        <f t="shared" ref="L71:L80" si="25">D71-F71</f>
        <v>20729.522466666647</v>
      </c>
      <c r="M71" s="781">
        <f t="shared" ref="M71:M78" si="26">+L71/F71</f>
        <v>9.0616141299507569E-2</v>
      </c>
    </row>
    <row r="72" spans="1:13" ht="13.2" x14ac:dyDescent="0.25">
      <c r="A72" s="569"/>
      <c r="B72" s="594" t="s">
        <v>71</v>
      </c>
      <c r="C72" s="571"/>
      <c r="D72" s="595">
        <v>201334.4177742399</v>
      </c>
      <c r="E72" s="595">
        <v>193860.13</v>
      </c>
      <c r="F72" s="595">
        <v>195186.71</v>
      </c>
      <c r="G72" s="595">
        <v>196184.29000000004</v>
      </c>
      <c r="I72" s="592">
        <f t="shared" si="23"/>
        <v>7474.2877742398996</v>
      </c>
      <c r="J72" s="593">
        <f t="shared" si="24"/>
        <v>3.8555053967207695E-2</v>
      </c>
      <c r="L72" s="592">
        <f t="shared" si="25"/>
        <v>6147.7077742399124</v>
      </c>
      <c r="M72" s="593">
        <f t="shared" si="26"/>
        <v>3.1496548992705049E-2</v>
      </c>
    </row>
    <row r="73" spans="1:13" ht="13.2" x14ac:dyDescent="0.25">
      <c r="A73" s="569"/>
      <c r="B73" s="594" t="s">
        <v>72</v>
      </c>
      <c r="C73" s="571"/>
      <c r="D73" s="595">
        <v>10839.720000000001</v>
      </c>
      <c r="E73" s="595">
        <v>10524</v>
      </c>
      <c r="F73" s="595">
        <v>10020</v>
      </c>
      <c r="G73" s="595">
        <v>10008</v>
      </c>
      <c r="I73" s="592">
        <f t="shared" si="23"/>
        <v>315.72000000000116</v>
      </c>
      <c r="J73" s="593">
        <f t="shared" si="24"/>
        <v>3.000000000000011E-2</v>
      </c>
      <c r="L73" s="592">
        <f t="shared" si="25"/>
        <v>819.72000000000116</v>
      </c>
      <c r="M73" s="593">
        <f t="shared" si="26"/>
        <v>8.1808383233533052E-2</v>
      </c>
    </row>
    <row r="74" spans="1:13" ht="13.2" x14ac:dyDescent="0.25">
      <c r="A74" s="569"/>
      <c r="B74" s="594" t="s">
        <v>50</v>
      </c>
      <c r="C74" s="571"/>
      <c r="D74" s="595">
        <v>43074.600000000006</v>
      </c>
      <c r="E74" s="595">
        <v>53948.37000000001</v>
      </c>
      <c r="F74" s="595">
        <v>41092.660000000011</v>
      </c>
      <c r="G74" s="595">
        <v>30750.809999999994</v>
      </c>
      <c r="I74" s="592">
        <f t="shared" si="23"/>
        <v>-10873.770000000004</v>
      </c>
      <c r="J74" s="593">
        <f t="shared" si="24"/>
        <v>-0.20155882374203341</v>
      </c>
      <c r="L74" s="592">
        <f t="shared" si="25"/>
        <v>1981.9399999999951</v>
      </c>
      <c r="M74" s="593">
        <f t="shared" si="26"/>
        <v>4.8230997944644971E-2</v>
      </c>
    </row>
    <row r="75" spans="1:13" ht="13.2" x14ac:dyDescent="0.25">
      <c r="A75" s="569"/>
      <c r="B75" s="594" t="s">
        <v>73</v>
      </c>
      <c r="C75" s="571"/>
      <c r="D75" s="595">
        <v>33060</v>
      </c>
      <c r="E75" s="595">
        <v>22554.359999999997</v>
      </c>
      <c r="F75" s="595">
        <v>28575.77</v>
      </c>
      <c r="G75" s="595">
        <v>26958.85</v>
      </c>
      <c r="I75" s="592">
        <f t="shared" si="23"/>
        <v>10505.640000000003</v>
      </c>
      <c r="J75" s="593">
        <f t="shared" si="24"/>
        <v>0.46579197990987126</v>
      </c>
      <c r="L75" s="592">
        <f t="shared" si="25"/>
        <v>4484.2299999999996</v>
      </c>
      <c r="M75" s="593">
        <f t="shared" si="26"/>
        <v>0.15692420536699447</v>
      </c>
    </row>
    <row r="76" spans="1:13" ht="13.2" x14ac:dyDescent="0.25">
      <c r="A76" s="569"/>
      <c r="B76" s="594" t="s">
        <v>52</v>
      </c>
      <c r="C76" s="571"/>
      <c r="D76" s="595">
        <v>14244</v>
      </c>
      <c r="E76" s="595">
        <v>10782.37</v>
      </c>
      <c r="F76" s="595">
        <v>10783</v>
      </c>
      <c r="G76" s="595">
        <v>6468</v>
      </c>
      <c r="I76" s="592">
        <f t="shared" si="23"/>
        <v>3461.6299999999992</v>
      </c>
      <c r="J76" s="593">
        <f t="shared" si="24"/>
        <v>0.32104537314152631</v>
      </c>
      <c r="L76" s="592">
        <f t="shared" si="25"/>
        <v>3461</v>
      </c>
      <c r="M76" s="593">
        <f t="shared" si="26"/>
        <v>0.32096819067049986</v>
      </c>
    </row>
    <row r="77" spans="1:13" ht="25.05" customHeight="1" x14ac:dyDescent="0.25">
      <c r="A77" s="569"/>
      <c r="B77" s="760" t="s">
        <v>53</v>
      </c>
      <c r="C77" s="761"/>
      <c r="D77" s="776">
        <v>78740.039999999994</v>
      </c>
      <c r="E77" s="776">
        <v>59895.88</v>
      </c>
      <c r="F77" s="776">
        <v>46157.340000000004</v>
      </c>
      <c r="G77" s="776">
        <v>50420.05</v>
      </c>
      <c r="H77" s="763"/>
      <c r="I77" s="780">
        <f t="shared" si="23"/>
        <v>18844.159999999996</v>
      </c>
      <c r="J77" s="781">
        <f t="shared" si="24"/>
        <v>0.31461529574321301</v>
      </c>
      <c r="K77" s="763"/>
      <c r="L77" s="780">
        <f t="shared" si="25"/>
        <v>32582.69999999999</v>
      </c>
      <c r="M77" s="781">
        <f t="shared" si="26"/>
        <v>0.70590506298673161</v>
      </c>
    </row>
    <row r="78" spans="1:13" ht="13.2" x14ac:dyDescent="0.25">
      <c r="A78" s="569"/>
      <c r="B78" s="594" t="s">
        <v>54</v>
      </c>
      <c r="C78" s="571"/>
      <c r="D78" s="595">
        <v>50492.496346981534</v>
      </c>
      <c r="E78" s="595">
        <v>39005.65</v>
      </c>
      <c r="F78" s="595">
        <v>38031.78</v>
      </c>
      <c r="G78" s="595">
        <v>31416.480000000003</v>
      </c>
      <c r="I78" s="592">
        <f t="shared" si="23"/>
        <v>11486.846346981532</v>
      </c>
      <c r="J78" s="593">
        <f t="shared" si="24"/>
        <v>0.29449185815340939</v>
      </c>
      <c r="L78" s="592">
        <f t="shared" si="25"/>
        <v>12460.716346981535</v>
      </c>
      <c r="M78" s="593">
        <f t="shared" si="26"/>
        <v>0.32763957792618531</v>
      </c>
    </row>
    <row r="79" spans="1:13" ht="13.2" x14ac:dyDescent="0.25">
      <c r="A79" s="569"/>
      <c r="B79" s="599"/>
      <c r="C79" s="571"/>
      <c r="D79" s="600"/>
      <c r="E79" s="600"/>
      <c r="F79" s="600"/>
      <c r="G79" s="600"/>
      <c r="I79" s="601">
        <f t="shared" si="23"/>
        <v>0</v>
      </c>
      <c r="J79" s="602"/>
      <c r="L79" s="601">
        <f t="shared" si="25"/>
        <v>0</v>
      </c>
      <c r="M79" s="602"/>
    </row>
    <row r="80" spans="1:13" ht="13.8" thickBot="1" x14ac:dyDescent="0.3">
      <c r="A80" s="569"/>
      <c r="B80" s="634" t="s">
        <v>55</v>
      </c>
      <c r="C80" s="590"/>
      <c r="D80" s="660">
        <f t="shared" ref="D80:G80" si="27">SUM(D71:D79)</f>
        <v>681276.71658788808</v>
      </c>
      <c r="E80" s="660">
        <f t="shared" si="27"/>
        <v>604056.9</v>
      </c>
      <c r="F80" s="660">
        <f t="shared" si="27"/>
        <v>598609.18000000005</v>
      </c>
      <c r="G80" s="660">
        <f t="shared" si="27"/>
        <v>574026.83000000007</v>
      </c>
      <c r="I80" s="612">
        <f t="shared" si="23"/>
        <v>77219.816587888054</v>
      </c>
      <c r="J80" s="613">
        <f>+I80/E80</f>
        <v>0.12783533569087291</v>
      </c>
      <c r="L80" s="612">
        <f t="shared" si="25"/>
        <v>82667.536587888026</v>
      </c>
      <c r="M80" s="613">
        <f>+L80/F80</f>
        <v>0.13809934653505984</v>
      </c>
    </row>
    <row r="81" spans="1:13" ht="13.8" thickBot="1" x14ac:dyDescent="0.3">
      <c r="A81" s="569"/>
      <c r="B81" s="618"/>
      <c r="C81" s="619"/>
      <c r="D81" s="615"/>
      <c r="E81" s="615"/>
      <c r="F81" s="615"/>
      <c r="G81" s="615"/>
      <c r="I81" s="639"/>
      <c r="J81" s="640"/>
      <c r="L81" s="639"/>
      <c r="M81" s="640"/>
    </row>
    <row r="82" spans="1:13" ht="13.8" thickBot="1" x14ac:dyDescent="0.3">
      <c r="A82" s="569"/>
      <c r="B82" s="621" t="s">
        <v>56</v>
      </c>
      <c r="C82" s="590"/>
      <c r="D82" s="614"/>
      <c r="E82" s="614"/>
      <c r="F82" s="614"/>
      <c r="G82" s="614"/>
      <c r="I82" s="641"/>
      <c r="J82" s="642"/>
      <c r="L82" s="641"/>
      <c r="M82" s="642"/>
    </row>
    <row r="83" spans="1:13" ht="13.2" x14ac:dyDescent="0.25">
      <c r="A83" s="569"/>
      <c r="B83" s="643" t="s">
        <v>74</v>
      </c>
      <c r="C83" s="571"/>
      <c r="D83" s="629">
        <v>13200</v>
      </c>
      <c r="E83" s="629">
        <v>3975.8900000000003</v>
      </c>
      <c r="F83" s="629">
        <v>11989.58</v>
      </c>
      <c r="G83" s="629">
        <v>7608.76</v>
      </c>
      <c r="I83" s="644">
        <f t="shared" ref="I83:I99" si="28">D83-E83</f>
        <v>9224.11</v>
      </c>
      <c r="J83" s="645">
        <f>+I83/E83</f>
        <v>2.3200113685237769</v>
      </c>
      <c r="L83" s="644">
        <f t="shared" ref="L83:L99" si="29">D83-F83</f>
        <v>1210.42</v>
      </c>
      <c r="M83" s="645">
        <f>+L83/F83</f>
        <v>0.10095599679054647</v>
      </c>
    </row>
    <row r="84" spans="1:13" ht="13.2" x14ac:dyDescent="0.25">
      <c r="A84" s="569"/>
      <c r="B84" s="594" t="s">
        <v>75</v>
      </c>
      <c r="C84" s="571"/>
      <c r="D84" s="606">
        <v>25200</v>
      </c>
      <c r="E84" s="606">
        <v>23496.15</v>
      </c>
      <c r="F84" s="595">
        <v>11956.55</v>
      </c>
      <c r="G84" s="595">
        <v>4987.5</v>
      </c>
      <c r="I84" s="592">
        <f t="shared" si="28"/>
        <v>1703.8499999999985</v>
      </c>
      <c r="J84" s="593">
        <f>+I84/E84</f>
        <v>7.2516135622218897E-2</v>
      </c>
      <c r="L84" s="592">
        <f t="shared" si="29"/>
        <v>13243.45</v>
      </c>
      <c r="M84" s="593">
        <f>+L84/F84</f>
        <v>1.1076313819621881</v>
      </c>
    </row>
    <row r="85" spans="1:13" ht="13.2" x14ac:dyDescent="0.25">
      <c r="A85" s="569"/>
      <c r="B85" s="760" t="s">
        <v>76</v>
      </c>
      <c r="C85" s="761"/>
      <c r="D85" s="776">
        <v>299868.88250000001</v>
      </c>
      <c r="E85" s="776">
        <v>509417.01</v>
      </c>
      <c r="F85" s="776">
        <v>205542.41</v>
      </c>
      <c r="G85" s="776">
        <v>187548.62</v>
      </c>
      <c r="H85" s="763"/>
      <c r="I85" s="780">
        <f t="shared" si="28"/>
        <v>-209548.1275</v>
      </c>
      <c r="J85" s="781">
        <f>+I85/E85</f>
        <v>-0.41134890156102166</v>
      </c>
      <c r="K85" s="763"/>
      <c r="L85" s="780">
        <f t="shared" si="29"/>
        <v>94326.472500000003</v>
      </c>
      <c r="M85" s="781">
        <f>+L85/F85</f>
        <v>0.45891489011927028</v>
      </c>
    </row>
    <row r="86" spans="1:13" ht="13.2" x14ac:dyDescent="0.25">
      <c r="A86" s="569"/>
      <c r="B86" s="594" t="s">
        <v>78</v>
      </c>
      <c r="C86" s="571"/>
      <c r="D86" s="595">
        <v>900</v>
      </c>
      <c r="E86" s="595">
        <v>0</v>
      </c>
      <c r="F86" s="595">
        <v>0</v>
      </c>
      <c r="G86" s="595">
        <v>0</v>
      </c>
      <c r="I86" s="592">
        <f t="shared" si="28"/>
        <v>900</v>
      </c>
      <c r="J86" s="593"/>
      <c r="L86" s="592">
        <f t="shared" si="29"/>
        <v>900</v>
      </c>
      <c r="M86" s="593"/>
    </row>
    <row r="87" spans="1:13" ht="13.2" x14ac:dyDescent="0.25">
      <c r="A87" s="569"/>
      <c r="B87" s="594" t="s">
        <v>79</v>
      </c>
      <c r="C87" s="571"/>
      <c r="D87" s="595">
        <v>18480</v>
      </c>
      <c r="E87" s="595">
        <v>14752.650000000003</v>
      </c>
      <c r="F87" s="595">
        <v>19284.509999999998</v>
      </c>
      <c r="G87" s="595">
        <v>5677.94</v>
      </c>
      <c r="I87" s="592">
        <f t="shared" si="28"/>
        <v>3727.3499999999967</v>
      </c>
      <c r="J87" s="593">
        <f>+I87/E87</f>
        <v>0.25265630242702131</v>
      </c>
      <c r="L87" s="592">
        <f t="shared" si="29"/>
        <v>-804.5099999999984</v>
      </c>
      <c r="M87" s="593">
        <f t="shared" ref="M87:M99" si="30">+L87/F87</f>
        <v>-4.1717938386819184E-2</v>
      </c>
    </row>
    <row r="88" spans="1:13" ht="13.2" x14ac:dyDescent="0.25">
      <c r="A88" s="569"/>
      <c r="B88" s="594" t="s">
        <v>80</v>
      </c>
      <c r="C88" s="571"/>
      <c r="D88" s="595">
        <v>16620</v>
      </c>
      <c r="E88" s="595">
        <v>15235.180000000002</v>
      </c>
      <c r="F88" s="595">
        <v>15592.44</v>
      </c>
      <c r="G88" s="595">
        <v>19098.050000000003</v>
      </c>
      <c r="I88" s="592">
        <f t="shared" si="28"/>
        <v>1384.8199999999979</v>
      </c>
      <c r="J88" s="593">
        <f>+I88/E88</f>
        <v>9.0896202079660218E-2</v>
      </c>
      <c r="L88" s="592">
        <f t="shared" si="29"/>
        <v>1027.5599999999995</v>
      </c>
      <c r="M88" s="593">
        <f t="shared" si="30"/>
        <v>6.5901167488859949E-2</v>
      </c>
    </row>
    <row r="89" spans="1:13" ht="13.2" x14ac:dyDescent="0.25">
      <c r="A89" s="569"/>
      <c r="B89" s="594" t="s">
        <v>81</v>
      </c>
      <c r="C89" s="571"/>
      <c r="D89" s="595">
        <v>13164</v>
      </c>
      <c r="E89" s="595">
        <v>2677.2699999999995</v>
      </c>
      <c r="F89" s="595">
        <v>13157.8</v>
      </c>
      <c r="G89" s="595">
        <v>11451.36</v>
      </c>
      <c r="I89" s="592">
        <f t="shared" si="28"/>
        <v>10486.73</v>
      </c>
      <c r="J89" s="593">
        <f>+I89/E89</f>
        <v>3.9169489816118666</v>
      </c>
      <c r="L89" s="592">
        <f t="shared" si="29"/>
        <v>6.2000000000007276</v>
      </c>
      <c r="M89" s="593">
        <f t="shared" si="30"/>
        <v>4.7120339266448253E-4</v>
      </c>
    </row>
    <row r="90" spans="1:13" ht="13.2" x14ac:dyDescent="0.25">
      <c r="A90" s="569"/>
      <c r="B90" s="594" t="s">
        <v>82</v>
      </c>
      <c r="C90" s="571"/>
      <c r="D90" s="606">
        <v>5004</v>
      </c>
      <c r="E90" s="606">
        <v>995.32999999999993</v>
      </c>
      <c r="F90" s="595">
        <v>1264.2500000000002</v>
      </c>
      <c r="G90" s="595">
        <v>17469.599999999999</v>
      </c>
      <c r="I90" s="592">
        <f t="shared" si="28"/>
        <v>4008.67</v>
      </c>
      <c r="J90" s="593">
        <f>+I90/E90</f>
        <v>4.0274783237720158</v>
      </c>
      <c r="L90" s="592">
        <f t="shared" si="29"/>
        <v>3739.75</v>
      </c>
      <c r="M90" s="593">
        <f t="shared" si="30"/>
        <v>2.9580779118054177</v>
      </c>
    </row>
    <row r="91" spans="1:13" ht="13.2" x14ac:dyDescent="0.25">
      <c r="A91" s="569"/>
      <c r="B91" s="594" t="s">
        <v>83</v>
      </c>
      <c r="C91" s="571"/>
      <c r="D91" s="595"/>
      <c r="E91" s="595">
        <v>0</v>
      </c>
      <c r="F91" s="595">
        <v>33003.630000000005</v>
      </c>
      <c r="G91" s="595">
        <v>0.18000000000029104</v>
      </c>
      <c r="I91" s="592">
        <f t="shared" si="28"/>
        <v>0</v>
      </c>
      <c r="J91" s="593"/>
      <c r="L91" s="592">
        <f t="shared" si="29"/>
        <v>-33003.630000000005</v>
      </c>
      <c r="M91" s="593">
        <f t="shared" si="30"/>
        <v>-1</v>
      </c>
    </row>
    <row r="92" spans="1:13" ht="13.2" x14ac:dyDescent="0.25">
      <c r="A92" s="569"/>
      <c r="B92" s="594" t="s">
        <v>84</v>
      </c>
      <c r="C92" s="571"/>
      <c r="D92" s="606">
        <v>50000</v>
      </c>
      <c r="E92" s="606">
        <v>49880</v>
      </c>
      <c r="F92" s="595">
        <v>48562.5</v>
      </c>
      <c r="G92" s="595">
        <v>69433.75</v>
      </c>
      <c r="I92" s="592">
        <f t="shared" si="28"/>
        <v>120</v>
      </c>
      <c r="J92" s="593">
        <f t="shared" ref="J92:J99" si="31">+I92/E92</f>
        <v>2.4057738572574178E-3</v>
      </c>
      <c r="L92" s="592">
        <f t="shared" si="29"/>
        <v>1437.5</v>
      </c>
      <c r="M92" s="593">
        <f t="shared" si="30"/>
        <v>2.9601029601029602E-2</v>
      </c>
    </row>
    <row r="93" spans="1:13" ht="13.2" x14ac:dyDescent="0.25">
      <c r="A93" s="569"/>
      <c r="B93" s="594" t="s">
        <v>85</v>
      </c>
      <c r="C93" s="571"/>
      <c r="D93" s="595">
        <v>38520</v>
      </c>
      <c r="E93" s="595">
        <v>38520</v>
      </c>
      <c r="F93" s="595">
        <v>39520</v>
      </c>
      <c r="G93" s="595">
        <v>32479.5</v>
      </c>
      <c r="I93" s="592">
        <f t="shared" si="28"/>
        <v>0</v>
      </c>
      <c r="J93" s="593">
        <f t="shared" si="31"/>
        <v>0</v>
      </c>
      <c r="L93" s="592">
        <f t="shared" si="29"/>
        <v>-1000</v>
      </c>
      <c r="M93" s="593">
        <f t="shared" si="30"/>
        <v>-2.5303643724696356E-2</v>
      </c>
    </row>
    <row r="94" spans="1:13" ht="13.2" x14ac:dyDescent="0.25">
      <c r="A94" s="569"/>
      <c r="B94" s="594" t="s">
        <v>61</v>
      </c>
      <c r="C94" s="571"/>
      <c r="D94" s="595">
        <v>5400</v>
      </c>
      <c r="E94" s="595">
        <v>5844.0399999999991</v>
      </c>
      <c r="F94" s="595">
        <v>4405.92</v>
      </c>
      <c r="G94" s="595">
        <v>1263.92</v>
      </c>
      <c r="I94" s="592">
        <f t="shared" si="28"/>
        <v>-444.03999999999905</v>
      </c>
      <c r="J94" s="593">
        <f t="shared" si="31"/>
        <v>-7.5981683903600786E-2</v>
      </c>
      <c r="L94" s="592">
        <f t="shared" si="29"/>
        <v>994.07999999999993</v>
      </c>
      <c r="M94" s="593">
        <f t="shared" si="30"/>
        <v>0.2256237062860878</v>
      </c>
    </row>
    <row r="95" spans="1:13" ht="13.2" x14ac:dyDescent="0.25">
      <c r="A95" s="569"/>
      <c r="B95" s="594" t="s">
        <v>86</v>
      </c>
      <c r="C95" s="571"/>
      <c r="D95" s="595">
        <v>7995.9999999999991</v>
      </c>
      <c r="E95" s="595">
        <v>8021.25</v>
      </c>
      <c r="F95" s="595">
        <v>15094.3</v>
      </c>
      <c r="G95" s="595">
        <v>7279.35</v>
      </c>
      <c r="I95" s="592">
        <f t="shared" si="28"/>
        <v>-25.250000000000909</v>
      </c>
      <c r="J95" s="593">
        <f t="shared" si="31"/>
        <v>-3.147888421380821E-3</v>
      </c>
      <c r="L95" s="592">
        <f t="shared" si="29"/>
        <v>-7098.3</v>
      </c>
      <c r="M95" s="593">
        <f t="shared" si="30"/>
        <v>-0.47026360944197482</v>
      </c>
    </row>
    <row r="96" spans="1:13" ht="13.2" x14ac:dyDescent="0.25">
      <c r="A96" s="569"/>
      <c r="B96" s="594" t="s">
        <v>87</v>
      </c>
      <c r="C96" s="571"/>
      <c r="D96" s="606">
        <v>47280</v>
      </c>
      <c r="E96" s="606">
        <v>42012.06</v>
      </c>
      <c r="F96" s="595">
        <v>38679.949999999997</v>
      </c>
      <c r="G96" s="595">
        <v>27220.519999999997</v>
      </c>
      <c r="I96" s="592">
        <f t="shared" si="28"/>
        <v>5267.9400000000023</v>
      </c>
      <c r="J96" s="593">
        <f t="shared" si="31"/>
        <v>0.1253911376876069</v>
      </c>
      <c r="L96" s="592">
        <f t="shared" si="29"/>
        <v>8600.0500000000029</v>
      </c>
      <c r="M96" s="593">
        <f t="shared" si="30"/>
        <v>0.22233870519481033</v>
      </c>
    </row>
    <row r="97" spans="1:13" ht="13.2" x14ac:dyDescent="0.25">
      <c r="A97" s="569"/>
      <c r="B97" s="594" t="s">
        <v>64</v>
      </c>
      <c r="C97" s="571"/>
      <c r="D97" s="595">
        <v>5688</v>
      </c>
      <c r="E97" s="595">
        <v>3004.0599999999995</v>
      </c>
      <c r="F97" s="595">
        <v>4918.95</v>
      </c>
      <c r="G97" s="595">
        <v>13057.630000000003</v>
      </c>
      <c r="I97" s="592">
        <f t="shared" si="28"/>
        <v>2683.9400000000005</v>
      </c>
      <c r="J97" s="593">
        <f t="shared" si="31"/>
        <v>0.89343754785190743</v>
      </c>
      <c r="L97" s="592">
        <f t="shared" si="29"/>
        <v>769.05000000000018</v>
      </c>
      <c r="M97" s="593">
        <f t="shared" si="30"/>
        <v>0.15634434178025802</v>
      </c>
    </row>
    <row r="98" spans="1:13" ht="13.2" x14ac:dyDescent="0.25">
      <c r="A98" s="569"/>
      <c r="B98" s="599" t="s">
        <v>88</v>
      </c>
      <c r="C98" s="571"/>
      <c r="D98" s="600">
        <v>75531</v>
      </c>
      <c r="E98" s="600">
        <v>58700.409999999996</v>
      </c>
      <c r="F98" s="600">
        <v>80667.010000000009</v>
      </c>
      <c r="G98" s="600">
        <v>146369.31000000003</v>
      </c>
      <c r="I98" s="601">
        <f t="shared" si="28"/>
        <v>16830.590000000004</v>
      </c>
      <c r="J98" s="602">
        <f t="shared" si="31"/>
        <v>0.28672014386270905</v>
      </c>
      <c r="L98" s="601">
        <f t="shared" si="29"/>
        <v>-5136.0100000000093</v>
      </c>
      <c r="M98" s="602">
        <f t="shared" si="30"/>
        <v>-6.3669274465484815E-2</v>
      </c>
    </row>
    <row r="99" spans="1:13" ht="13.8" thickBot="1" x14ac:dyDescent="0.3">
      <c r="A99" s="569"/>
      <c r="B99" s="634" t="s">
        <v>67</v>
      </c>
      <c r="C99" s="590"/>
      <c r="D99" s="647">
        <f t="shared" ref="D99:G99" si="32">SUM(D83:D98)</f>
        <v>622851.88250000007</v>
      </c>
      <c r="E99" s="647">
        <f t="shared" si="32"/>
        <v>776531.30000000016</v>
      </c>
      <c r="F99" s="647">
        <f t="shared" si="32"/>
        <v>543639.80000000005</v>
      </c>
      <c r="G99" s="647">
        <f t="shared" si="32"/>
        <v>550945.99</v>
      </c>
      <c r="I99" s="612">
        <f t="shared" si="28"/>
        <v>-153679.4175000001</v>
      </c>
      <c r="J99" s="613">
        <f t="shared" si="31"/>
        <v>-0.19790498786075986</v>
      </c>
      <c r="L99" s="612">
        <f t="shared" si="29"/>
        <v>79212.082500000019</v>
      </c>
      <c r="M99" s="613">
        <f t="shared" si="30"/>
        <v>0.14570692303985103</v>
      </c>
    </row>
    <row r="100" spans="1:13" ht="13.8" thickBot="1" x14ac:dyDescent="0.3">
      <c r="A100" s="569"/>
      <c r="B100" s="618"/>
      <c r="C100" s="619"/>
      <c r="D100" s="615"/>
      <c r="E100" s="615"/>
      <c r="F100" s="615"/>
      <c r="G100" s="615"/>
      <c r="I100" s="639"/>
      <c r="J100" s="640"/>
      <c r="L100" s="639"/>
      <c r="M100" s="640"/>
    </row>
    <row r="101" spans="1:13" ht="13.8" thickBot="1" x14ac:dyDescent="0.3">
      <c r="A101" s="569"/>
      <c r="B101" s="621" t="s">
        <v>68</v>
      </c>
      <c r="C101" s="590"/>
      <c r="D101" s="614"/>
      <c r="E101" s="614"/>
      <c r="F101" s="614"/>
      <c r="G101" s="614"/>
      <c r="I101" s="641"/>
      <c r="J101" s="642"/>
      <c r="L101" s="641"/>
      <c r="M101" s="642"/>
    </row>
    <row r="102" spans="1:13" ht="13.8" thickBot="1" x14ac:dyDescent="0.3">
      <c r="A102" s="569"/>
      <c r="B102" s="651" t="s">
        <v>69</v>
      </c>
      <c r="C102" s="590"/>
      <c r="D102" s="652">
        <f t="shared" ref="D102:G102" si="33">D80+D99</f>
        <v>1304128.5990878881</v>
      </c>
      <c r="E102" s="652">
        <f t="shared" si="33"/>
        <v>1380588.2000000002</v>
      </c>
      <c r="F102" s="652">
        <f t="shared" si="33"/>
        <v>1142248.98</v>
      </c>
      <c r="G102" s="652">
        <f t="shared" si="33"/>
        <v>1124972.82</v>
      </c>
      <c r="I102" s="661">
        <f>D102-E102</f>
        <v>-76459.600912112044</v>
      </c>
      <c r="J102" s="654">
        <f>+I102/E102</f>
        <v>-5.5381902374735663E-2</v>
      </c>
      <c r="L102" s="661">
        <f>D102-F102</f>
        <v>161879.61908788816</v>
      </c>
      <c r="M102" s="654">
        <f>+L102/F102</f>
        <v>0.14172008198062752</v>
      </c>
    </row>
    <row r="103" spans="1:13" ht="13.8" thickBot="1" x14ac:dyDescent="0.3">
      <c r="A103" s="569"/>
      <c r="B103" s="618"/>
      <c r="C103" s="619"/>
      <c r="D103" s="615"/>
      <c r="E103" s="615"/>
      <c r="F103" s="615"/>
      <c r="G103" s="615"/>
      <c r="I103" s="639"/>
      <c r="J103" s="640"/>
      <c r="L103" s="639"/>
      <c r="M103" s="640"/>
    </row>
    <row r="104" spans="1:13" ht="13.8" thickBot="1" x14ac:dyDescent="0.3">
      <c r="A104" s="569"/>
      <c r="B104" s="621" t="s">
        <v>89</v>
      </c>
      <c r="C104" s="590"/>
      <c r="D104" s="614"/>
      <c r="E104" s="614"/>
      <c r="F104" s="614"/>
      <c r="G104" s="614"/>
      <c r="I104" s="657"/>
      <c r="J104" s="658"/>
      <c r="L104" s="657"/>
      <c r="M104" s="658"/>
    </row>
    <row r="105" spans="1:13" ht="13.8" thickBot="1" x14ac:dyDescent="0.3">
      <c r="A105" s="569"/>
      <c r="B105" s="618"/>
      <c r="C105" s="619"/>
      <c r="D105" s="615"/>
      <c r="E105" s="615"/>
      <c r="F105" s="615"/>
      <c r="G105" s="615"/>
      <c r="I105" s="659"/>
      <c r="J105" s="626"/>
      <c r="L105" s="659"/>
      <c r="M105" s="626"/>
    </row>
    <row r="106" spans="1:13" ht="13.8" thickBot="1" x14ac:dyDescent="0.3">
      <c r="A106" s="569"/>
      <c r="B106" s="627" t="s">
        <v>48</v>
      </c>
      <c r="C106" s="590"/>
      <c r="D106" s="580" t="str">
        <f>D3</f>
        <v>BUDGET 2025</v>
      </c>
      <c r="E106" s="580" t="str">
        <f>E3</f>
        <v>ACTUAL 2024</v>
      </c>
      <c r="F106" s="580" t="s">
        <v>371</v>
      </c>
      <c r="G106" s="580" t="s">
        <v>231</v>
      </c>
      <c r="I106" s="581" t="str">
        <f>I3</f>
        <v>B 2025 vs Act 2024</v>
      </c>
      <c r="J106" s="628" t="str">
        <f>+J$3</f>
        <v>%</v>
      </c>
      <c r="L106" s="581" t="str">
        <f>L3</f>
        <v>B 2025 vs Act 2023</v>
      </c>
      <c r="M106" s="582" t="s">
        <v>142</v>
      </c>
    </row>
    <row r="107" spans="1:13" ht="13.2" x14ac:dyDescent="0.25">
      <c r="A107" s="569"/>
      <c r="B107" s="662" t="s">
        <v>19</v>
      </c>
      <c r="C107" s="571"/>
      <c r="D107" s="663">
        <v>235656.99239999996</v>
      </c>
      <c r="E107" s="663">
        <v>190177.82</v>
      </c>
      <c r="F107" s="629">
        <v>215743.01</v>
      </c>
      <c r="G107" s="629">
        <v>213680.13000000003</v>
      </c>
      <c r="I107" s="592">
        <f t="shared" ref="I107:I114" si="34">D107-E107</f>
        <v>45479.172399999952</v>
      </c>
      <c r="J107" s="593">
        <f t="shared" ref="J107:J112" si="35">+I107/E107</f>
        <v>0.23914025515698914</v>
      </c>
      <c r="L107" s="592">
        <f t="shared" ref="L107:L114" si="36">D107-F107</f>
        <v>19913.98239999995</v>
      </c>
      <c r="M107" s="593">
        <f t="shared" ref="M107:M112" si="37">+L107/F107</f>
        <v>9.2304183574707474E-2</v>
      </c>
    </row>
    <row r="108" spans="1:13" ht="13.2" x14ac:dyDescent="0.25">
      <c r="A108" s="569"/>
      <c r="B108" s="594" t="s">
        <v>50</v>
      </c>
      <c r="C108" s="571"/>
      <c r="D108" s="595">
        <v>30702.240000000002</v>
      </c>
      <c r="E108" s="595">
        <v>27655.34</v>
      </c>
      <c r="F108" s="595">
        <v>29361.1</v>
      </c>
      <c r="G108" s="595">
        <v>17985.91</v>
      </c>
      <c r="I108" s="592">
        <f t="shared" si="34"/>
        <v>3046.9000000000015</v>
      </c>
      <c r="J108" s="593">
        <f t="shared" si="35"/>
        <v>0.1101740206412216</v>
      </c>
      <c r="L108" s="592">
        <f t="shared" si="36"/>
        <v>1341.1400000000031</v>
      </c>
      <c r="M108" s="593">
        <f t="shared" si="37"/>
        <v>4.5677443964974168E-2</v>
      </c>
    </row>
    <row r="109" spans="1:13" ht="13.2" x14ac:dyDescent="0.25">
      <c r="A109" s="569"/>
      <c r="B109" s="594" t="s">
        <v>73</v>
      </c>
      <c r="C109" s="571"/>
      <c r="D109" s="595">
        <v>20400</v>
      </c>
      <c r="E109" s="595">
        <v>13635.49</v>
      </c>
      <c r="F109" s="595">
        <v>21179.280000000002</v>
      </c>
      <c r="G109" s="595">
        <v>17295.173999999995</v>
      </c>
      <c r="I109" s="592">
        <f t="shared" si="34"/>
        <v>6764.51</v>
      </c>
      <c r="J109" s="593">
        <f t="shared" si="35"/>
        <v>0.49609584987411531</v>
      </c>
      <c r="L109" s="592">
        <f t="shared" si="36"/>
        <v>-779.28000000000247</v>
      </c>
      <c r="M109" s="593">
        <f t="shared" si="37"/>
        <v>-3.6794451936043263E-2</v>
      </c>
    </row>
    <row r="110" spans="1:13" ht="13.2" x14ac:dyDescent="0.25">
      <c r="A110" s="569"/>
      <c r="B110" s="594" t="s">
        <v>53</v>
      </c>
      <c r="C110" s="571"/>
      <c r="D110" s="606">
        <v>14400</v>
      </c>
      <c r="E110" s="606">
        <v>11399.53</v>
      </c>
      <c r="F110" s="595">
        <v>17702.2</v>
      </c>
      <c r="G110" s="595">
        <v>25249.540000000005</v>
      </c>
      <c r="I110" s="592">
        <f t="shared" si="34"/>
        <v>3000.4699999999993</v>
      </c>
      <c r="J110" s="593">
        <f t="shared" si="35"/>
        <v>0.26320997444631483</v>
      </c>
      <c r="L110" s="592">
        <f t="shared" si="36"/>
        <v>-3302.2000000000007</v>
      </c>
      <c r="M110" s="593">
        <f t="shared" si="37"/>
        <v>-0.18654178576674088</v>
      </c>
    </row>
    <row r="111" spans="1:13" ht="13.2" x14ac:dyDescent="0.25">
      <c r="A111" s="569"/>
      <c r="B111" s="594" t="s">
        <v>54</v>
      </c>
      <c r="C111" s="571"/>
      <c r="D111" s="595">
        <v>26393.583148799997</v>
      </c>
      <c r="E111" s="595">
        <v>28415.930000000004</v>
      </c>
      <c r="F111" s="595">
        <v>29435.339999999997</v>
      </c>
      <c r="G111" s="595">
        <v>21159.360000000001</v>
      </c>
      <c r="I111" s="592">
        <f t="shared" si="34"/>
        <v>-2022.3468512000072</v>
      </c>
      <c r="J111" s="593">
        <f t="shared" si="35"/>
        <v>-7.1169476107240087E-2</v>
      </c>
      <c r="L111" s="592">
        <f t="shared" si="36"/>
        <v>-3041.7568511999998</v>
      </c>
      <c r="M111" s="593">
        <f t="shared" si="37"/>
        <v>-0.10333690221346178</v>
      </c>
    </row>
    <row r="112" spans="1:13" ht="13.2" x14ac:dyDescent="0.25">
      <c r="A112" s="569"/>
      <c r="B112" s="594" t="s">
        <v>90</v>
      </c>
      <c r="C112" s="571"/>
      <c r="D112" s="595">
        <v>-140109.73040182726</v>
      </c>
      <c r="E112" s="595">
        <v>-135642.05499999999</v>
      </c>
      <c r="F112" s="595">
        <v>-156710.14000000001</v>
      </c>
      <c r="G112" s="595">
        <v>-147686</v>
      </c>
      <c r="I112" s="592">
        <f t="shared" si="34"/>
        <v>-4467.6754018272622</v>
      </c>
      <c r="J112" s="593">
        <f t="shared" si="35"/>
        <v>3.2937243554937753E-2</v>
      </c>
      <c r="L112" s="592">
        <f t="shared" si="36"/>
        <v>16600.409598172759</v>
      </c>
      <c r="M112" s="593">
        <f t="shared" si="37"/>
        <v>-0.10593066663186414</v>
      </c>
    </row>
    <row r="113" spans="1:13" ht="13.2" x14ac:dyDescent="0.25">
      <c r="A113" s="569"/>
      <c r="B113" s="589"/>
      <c r="C113" s="590"/>
      <c r="D113" s="664"/>
      <c r="E113" s="664"/>
      <c r="F113" s="664"/>
      <c r="G113" s="664"/>
      <c r="I113" s="601">
        <f t="shared" si="34"/>
        <v>0</v>
      </c>
      <c r="J113" s="602"/>
      <c r="L113" s="601">
        <f t="shared" si="36"/>
        <v>0</v>
      </c>
      <c r="M113" s="602"/>
    </row>
    <row r="114" spans="1:13" ht="13.8" thickBot="1" x14ac:dyDescent="0.3">
      <c r="A114" s="569"/>
      <c r="B114" s="610" t="s">
        <v>55</v>
      </c>
      <c r="C114" s="590"/>
      <c r="D114" s="647">
        <f t="shared" ref="D114:G114" si="38">SUM(D107:D113)</f>
        <v>187443.08514697273</v>
      </c>
      <c r="E114" s="647">
        <f t="shared" si="38"/>
        <v>135642.05499999999</v>
      </c>
      <c r="F114" s="647">
        <f t="shared" si="38"/>
        <v>156710.79000000004</v>
      </c>
      <c r="G114" s="647">
        <f t="shared" si="38"/>
        <v>147684.114</v>
      </c>
      <c r="I114" s="612">
        <f t="shared" si="34"/>
        <v>51801.030146972742</v>
      </c>
      <c r="J114" s="613">
        <f>+I114/E114</f>
        <v>0.38189505568146065</v>
      </c>
      <c r="L114" s="612">
        <f t="shared" si="36"/>
        <v>30732.295146972698</v>
      </c>
      <c r="M114" s="613">
        <f>+L114/F114</f>
        <v>0.19610835442136876</v>
      </c>
    </row>
    <row r="115" spans="1:13" ht="13.8" thickBot="1" x14ac:dyDescent="0.3">
      <c r="A115" s="569"/>
      <c r="B115" s="618"/>
      <c r="C115" s="619"/>
      <c r="D115" s="615"/>
      <c r="E115" s="615"/>
      <c r="F115" s="615"/>
      <c r="G115" s="615"/>
      <c r="I115" s="639"/>
      <c r="J115" s="640"/>
      <c r="L115" s="639"/>
      <c r="M115" s="640"/>
    </row>
    <row r="116" spans="1:13" ht="13.8" thickBot="1" x14ac:dyDescent="0.3">
      <c r="A116" s="569"/>
      <c r="B116" s="621" t="s">
        <v>56</v>
      </c>
      <c r="C116" s="590"/>
      <c r="D116" s="614"/>
      <c r="E116" s="614"/>
      <c r="F116" s="614"/>
      <c r="G116" s="614"/>
      <c r="I116" s="641"/>
      <c r="J116" s="642"/>
      <c r="L116" s="641"/>
      <c r="M116" s="642"/>
    </row>
    <row r="117" spans="1:13" ht="13.2" x14ac:dyDescent="0.25">
      <c r="A117" s="571"/>
      <c r="B117" s="643" t="s">
        <v>91</v>
      </c>
      <c r="C117" s="571"/>
      <c r="D117" s="663">
        <v>85356</v>
      </c>
      <c r="E117" s="663">
        <v>73811.66</v>
      </c>
      <c r="F117" s="629">
        <v>81987.489999999991</v>
      </c>
      <c r="G117" s="629">
        <v>31677.01</v>
      </c>
      <c r="I117" s="644">
        <f t="shared" ref="I117:I128" si="39">D117-E117</f>
        <v>11544.339999999997</v>
      </c>
      <c r="J117" s="645">
        <f t="shared" ref="J117:J122" si="40">+I117/E117</f>
        <v>0.15640266050106441</v>
      </c>
      <c r="L117" s="644">
        <f t="shared" ref="L117:L128" si="41">D117-F117</f>
        <v>3368.5100000000093</v>
      </c>
      <c r="M117" s="645">
        <f t="shared" ref="M117:M122" si="42">+L117/F117</f>
        <v>4.1085658312018207E-2</v>
      </c>
    </row>
    <row r="118" spans="1:13" ht="13.2" x14ac:dyDescent="0.25">
      <c r="A118" s="571"/>
      <c r="B118" s="594" t="s">
        <v>110</v>
      </c>
      <c r="C118" s="571"/>
      <c r="D118" s="595">
        <f>'[3]Income Statement'!R156</f>
        <v>7452</v>
      </c>
      <c r="E118" s="595">
        <v>13525.96</v>
      </c>
      <c r="F118" s="595">
        <v>3484.25</v>
      </c>
      <c r="G118" s="595">
        <v>464.01</v>
      </c>
      <c r="I118" s="592">
        <f t="shared" si="39"/>
        <v>-6073.9599999999991</v>
      </c>
      <c r="J118" s="593">
        <f t="shared" si="40"/>
        <v>-0.44905943829495276</v>
      </c>
      <c r="L118" s="592">
        <f t="shared" si="41"/>
        <v>3967.75</v>
      </c>
      <c r="M118" s="593">
        <f t="shared" si="42"/>
        <v>1.1387673100380282</v>
      </c>
    </row>
    <row r="119" spans="1:13" ht="13.2" x14ac:dyDescent="0.25">
      <c r="A119" s="571"/>
      <c r="B119" s="594" t="s">
        <v>92</v>
      </c>
      <c r="C119" s="571"/>
      <c r="D119" s="595">
        <v>24000</v>
      </c>
      <c r="E119" s="595">
        <v>20904.460000000003</v>
      </c>
      <c r="F119" s="595">
        <v>18286.760000000002</v>
      </c>
      <c r="G119" s="595">
        <v>2162.2800000000002</v>
      </c>
      <c r="I119" s="592">
        <f t="shared" si="39"/>
        <v>3095.5399999999972</v>
      </c>
      <c r="J119" s="593">
        <f t="shared" si="40"/>
        <v>0.14808036179839121</v>
      </c>
      <c r="L119" s="592">
        <f t="shared" si="41"/>
        <v>5713.239999999998</v>
      </c>
      <c r="M119" s="593">
        <f t="shared" si="42"/>
        <v>0.31242494569841772</v>
      </c>
    </row>
    <row r="120" spans="1:13" ht="13.2" x14ac:dyDescent="0.25">
      <c r="A120" s="571"/>
      <c r="B120" s="594" t="s">
        <v>61</v>
      </c>
      <c r="C120" s="571"/>
      <c r="D120" s="595">
        <v>1800</v>
      </c>
      <c r="E120" s="595">
        <v>1781.4799999999998</v>
      </c>
      <c r="F120" s="595">
        <v>813.83999999999992</v>
      </c>
      <c r="G120" s="595">
        <v>1541.46</v>
      </c>
      <c r="I120" s="592">
        <f t="shared" si="39"/>
        <v>18.520000000000209</v>
      </c>
      <c r="J120" s="593">
        <f t="shared" si="40"/>
        <v>1.0395850641040153E-2</v>
      </c>
      <c r="L120" s="592">
        <f t="shared" si="41"/>
        <v>986.16000000000008</v>
      </c>
      <c r="M120" s="593">
        <f t="shared" si="42"/>
        <v>1.2117369507519908</v>
      </c>
    </row>
    <row r="121" spans="1:13" ht="13.2" x14ac:dyDescent="0.25">
      <c r="A121" s="571"/>
      <c r="B121" s="665" t="s">
        <v>79</v>
      </c>
      <c r="C121" s="571"/>
      <c r="D121" s="595">
        <v>7800</v>
      </c>
      <c r="E121" s="595">
        <v>7318.17</v>
      </c>
      <c r="F121" s="595">
        <v>7740.97</v>
      </c>
      <c r="G121" s="595">
        <v>11805.970000000001</v>
      </c>
      <c r="I121" s="592">
        <f t="shared" si="39"/>
        <v>481.82999999999993</v>
      </c>
      <c r="J121" s="593">
        <f t="shared" si="40"/>
        <v>6.5840230549440631E-2</v>
      </c>
      <c r="L121" s="592">
        <f t="shared" si="41"/>
        <v>59.029999999999745</v>
      </c>
      <c r="M121" s="593">
        <f t="shared" si="42"/>
        <v>7.6256593165972405E-3</v>
      </c>
    </row>
    <row r="122" spans="1:13" ht="13.2" x14ac:dyDescent="0.25">
      <c r="A122" s="569"/>
      <c r="B122" s="594" t="s">
        <v>93</v>
      </c>
      <c r="C122" s="569"/>
      <c r="D122" s="596">
        <v>393630.6</v>
      </c>
      <c r="E122" s="596">
        <v>332642.25999999995</v>
      </c>
      <c r="F122" s="596">
        <v>431772.41</v>
      </c>
      <c r="G122" s="596">
        <v>418600.15</v>
      </c>
      <c r="I122" s="592">
        <f t="shared" si="39"/>
        <v>60988.340000000026</v>
      </c>
      <c r="J122" s="593">
        <f t="shared" si="40"/>
        <v>0.18334513480037093</v>
      </c>
      <c r="L122" s="592">
        <f t="shared" si="41"/>
        <v>-38141.81</v>
      </c>
      <c r="M122" s="593">
        <f t="shared" si="42"/>
        <v>-8.8337765722455497E-2</v>
      </c>
    </row>
    <row r="123" spans="1:13" ht="13.2" x14ac:dyDescent="0.25">
      <c r="A123" s="569"/>
      <c r="B123" s="594" t="s">
        <v>94</v>
      </c>
      <c r="C123" s="571"/>
      <c r="D123" s="595"/>
      <c r="E123" s="595">
        <v>0</v>
      </c>
      <c r="F123" s="595">
        <v>0</v>
      </c>
      <c r="G123" s="595">
        <v>0</v>
      </c>
      <c r="I123" s="592">
        <f t="shared" si="39"/>
        <v>0</v>
      </c>
      <c r="J123" s="593"/>
      <c r="L123" s="592">
        <f t="shared" si="41"/>
        <v>0</v>
      </c>
      <c r="M123" s="593"/>
    </row>
    <row r="124" spans="1:13" ht="13.2" x14ac:dyDescent="0.25">
      <c r="A124" s="569"/>
      <c r="B124" s="594" t="s">
        <v>90</v>
      </c>
      <c r="C124" s="569"/>
      <c r="D124" s="596">
        <v>-206571.54166666669</v>
      </c>
      <c r="E124" s="596">
        <v>-224991.995</v>
      </c>
      <c r="F124" s="596">
        <v>-270701.65000000026</v>
      </c>
      <c r="G124" s="596">
        <v>-233273.96</v>
      </c>
      <c r="I124" s="592">
        <f t="shared" si="39"/>
        <v>18420.453333333309</v>
      </c>
      <c r="J124" s="593">
        <f>+I124/E124</f>
        <v>-8.1871594290869362E-2</v>
      </c>
      <c r="L124" s="592">
        <f t="shared" si="41"/>
        <v>64130.10833333357</v>
      </c>
      <c r="M124" s="593">
        <f>+L124/F124</f>
        <v>-0.23690327832628102</v>
      </c>
    </row>
    <row r="125" spans="1:13" ht="13.2" x14ac:dyDescent="0.25">
      <c r="A125" s="569"/>
      <c r="B125" s="594" t="s">
        <v>95</v>
      </c>
      <c r="C125" s="571"/>
      <c r="D125" s="595">
        <v>54000</v>
      </c>
      <c r="E125" s="595">
        <v>49500</v>
      </c>
      <c r="F125" s="595">
        <v>59621.95</v>
      </c>
      <c r="G125" s="595">
        <v>61008</v>
      </c>
      <c r="I125" s="592">
        <f t="shared" si="39"/>
        <v>4500</v>
      </c>
      <c r="J125" s="593">
        <f>+I125/E125</f>
        <v>9.0909090909090912E-2</v>
      </c>
      <c r="L125" s="592">
        <f t="shared" si="41"/>
        <v>-5621.9499999999971</v>
      </c>
      <c r="M125" s="593">
        <f>+L125/F125</f>
        <v>-9.4293292990249356E-2</v>
      </c>
    </row>
    <row r="126" spans="1:13" ht="13.2" x14ac:dyDescent="0.25">
      <c r="A126" s="569"/>
      <c r="B126" s="594" t="s">
        <v>96</v>
      </c>
      <c r="C126" s="571"/>
      <c r="D126" s="595">
        <v>3600</v>
      </c>
      <c r="E126" s="595">
        <v>295</v>
      </c>
      <c r="F126" s="595">
        <v>3760.84</v>
      </c>
      <c r="G126" s="595">
        <v>10826.44</v>
      </c>
      <c r="I126" s="592">
        <f t="shared" si="39"/>
        <v>3305</v>
      </c>
      <c r="J126" s="593">
        <f>+I126/E126</f>
        <v>11.203389830508474</v>
      </c>
      <c r="L126" s="592">
        <f t="shared" si="41"/>
        <v>-160.84000000000015</v>
      </c>
      <c r="M126" s="593">
        <f>+L126/F126</f>
        <v>-4.2767041405643455E-2</v>
      </c>
    </row>
    <row r="127" spans="1:13" ht="13.2" x14ac:dyDescent="0.25">
      <c r="A127" s="569"/>
      <c r="B127" s="599" t="s">
        <v>97</v>
      </c>
      <c r="C127" s="571"/>
      <c r="D127" s="600">
        <v>12240</v>
      </c>
      <c r="E127" s="600">
        <v>11103.96</v>
      </c>
      <c r="F127" s="600">
        <v>11732.32</v>
      </c>
      <c r="G127" s="600">
        <v>14063.41</v>
      </c>
      <c r="I127" s="601">
        <f t="shared" si="39"/>
        <v>1136.0400000000009</v>
      </c>
      <c r="J127" s="602">
        <f>+I127/E127</f>
        <v>0.10230944635967718</v>
      </c>
      <c r="L127" s="601">
        <f t="shared" si="41"/>
        <v>507.68000000000029</v>
      </c>
      <c r="M127" s="602">
        <f>+L127/F127</f>
        <v>4.32719189384538E-2</v>
      </c>
    </row>
    <row r="128" spans="1:13" ht="13.8" thickBot="1" x14ac:dyDescent="0.3">
      <c r="A128" s="569"/>
      <c r="B128" s="634" t="s">
        <v>67</v>
      </c>
      <c r="C128" s="590"/>
      <c r="D128" s="647">
        <f t="shared" ref="D128:G128" si="43">SUM(D117:D127)</f>
        <v>383307.05833333329</v>
      </c>
      <c r="E128" s="647">
        <f t="shared" si="43"/>
        <v>285890.95499999996</v>
      </c>
      <c r="F128" s="647">
        <f t="shared" si="43"/>
        <v>348499.17999999976</v>
      </c>
      <c r="G128" s="647">
        <f t="shared" si="43"/>
        <v>318874.77</v>
      </c>
      <c r="I128" s="612">
        <f t="shared" si="39"/>
        <v>97416.103333333333</v>
      </c>
      <c r="J128" s="613">
        <f>+I128/E128</f>
        <v>0.34074566414083773</v>
      </c>
      <c r="L128" s="612">
        <f t="shared" si="41"/>
        <v>34807.87833333353</v>
      </c>
      <c r="M128" s="613">
        <f>+L128/F128</f>
        <v>9.9879369395743073E-2</v>
      </c>
    </row>
    <row r="129" spans="1:13" ht="13.8" thickBot="1" x14ac:dyDescent="0.3">
      <c r="A129" s="569"/>
      <c r="B129" s="618"/>
      <c r="C129" s="619"/>
      <c r="D129" s="615"/>
      <c r="E129" s="615"/>
      <c r="F129" s="615"/>
      <c r="G129" s="615"/>
      <c r="I129" s="649"/>
      <c r="J129" s="640"/>
      <c r="L129" s="649"/>
      <c r="M129" s="640"/>
    </row>
    <row r="130" spans="1:13" ht="13.8" thickBot="1" x14ac:dyDescent="0.3">
      <c r="A130" s="569"/>
      <c r="B130" s="621" t="s">
        <v>68</v>
      </c>
      <c r="C130" s="590"/>
      <c r="D130" s="614"/>
      <c r="E130" s="614"/>
      <c r="F130" s="614"/>
      <c r="G130" s="614"/>
      <c r="I130" s="650"/>
      <c r="J130" s="642"/>
      <c r="L130" s="650"/>
      <c r="M130" s="642"/>
    </row>
    <row r="131" spans="1:13" ht="13.8" thickBot="1" x14ac:dyDescent="0.3">
      <c r="A131" s="569"/>
      <c r="B131" s="651" t="s">
        <v>69</v>
      </c>
      <c r="C131" s="590"/>
      <c r="D131" s="652">
        <f t="shared" ref="D131:G131" si="44">D114+D128</f>
        <v>570750.14348030603</v>
      </c>
      <c r="E131" s="652">
        <f t="shared" si="44"/>
        <v>421533.00999999995</v>
      </c>
      <c r="F131" s="652">
        <f t="shared" si="44"/>
        <v>505209.9699999998</v>
      </c>
      <c r="G131" s="652">
        <f t="shared" si="44"/>
        <v>466558.88400000002</v>
      </c>
      <c r="I131" s="661">
        <f>D131-E131</f>
        <v>149217.13348030607</v>
      </c>
      <c r="J131" s="654">
        <f>+I131/E131</f>
        <v>0.35398682888513544</v>
      </c>
      <c r="L131" s="661">
        <f>D131-F131</f>
        <v>65540.173480306228</v>
      </c>
      <c r="M131" s="654">
        <f>+L131/F131</f>
        <v>0.1297285829104011</v>
      </c>
    </row>
    <row r="132" spans="1:13" ht="13.2" x14ac:dyDescent="0.25">
      <c r="A132" s="569"/>
      <c r="B132" s="570"/>
      <c r="C132" s="590"/>
      <c r="D132" s="614"/>
      <c r="E132" s="614"/>
      <c r="F132" s="614"/>
      <c r="G132" s="614"/>
      <c r="I132" s="655"/>
      <c r="J132" s="656"/>
      <c r="L132" s="655"/>
      <c r="M132" s="656"/>
    </row>
    <row r="133" spans="1:13" ht="13.8" thickBot="1" x14ac:dyDescent="0.3">
      <c r="A133" s="569"/>
      <c r="B133" s="618"/>
      <c r="C133" s="619"/>
      <c r="D133" s="615"/>
      <c r="E133" s="615"/>
      <c r="F133" s="615"/>
      <c r="G133" s="615"/>
      <c r="I133" s="639"/>
      <c r="J133" s="640"/>
      <c r="L133" s="639"/>
      <c r="M133" s="640"/>
    </row>
    <row r="134" spans="1:13" ht="13.8" thickBot="1" x14ac:dyDescent="0.3">
      <c r="A134" s="569"/>
      <c r="B134" s="621" t="s">
        <v>98</v>
      </c>
      <c r="C134" s="590"/>
      <c r="D134" s="614"/>
      <c r="E134" s="614"/>
      <c r="F134" s="614"/>
      <c r="G134" s="614"/>
      <c r="I134" s="657"/>
      <c r="J134" s="658"/>
      <c r="L134" s="657"/>
      <c r="M134" s="658"/>
    </row>
    <row r="135" spans="1:13" ht="13.8" thickBot="1" x14ac:dyDescent="0.3">
      <c r="A135" s="569"/>
      <c r="B135" s="618"/>
      <c r="C135" s="619"/>
      <c r="D135" s="615"/>
      <c r="E135" s="615"/>
      <c r="F135" s="615"/>
      <c r="G135" s="615"/>
      <c r="I135" s="659"/>
      <c r="J135" s="626"/>
      <c r="L135" s="659"/>
      <c r="M135" s="626"/>
    </row>
    <row r="136" spans="1:13" ht="13.8" thickBot="1" x14ac:dyDescent="0.3">
      <c r="A136" s="569"/>
      <c r="B136" s="621" t="s">
        <v>48</v>
      </c>
      <c r="C136" s="590"/>
      <c r="D136" s="580" t="str">
        <f>D3</f>
        <v>BUDGET 2025</v>
      </c>
      <c r="E136" s="580" t="str">
        <f>E3</f>
        <v>ACTUAL 2024</v>
      </c>
      <c r="F136" s="580" t="s">
        <v>371</v>
      </c>
      <c r="G136" s="580" t="s">
        <v>231</v>
      </c>
      <c r="I136" s="581" t="str">
        <f>I3</f>
        <v>B 2025 vs Act 2024</v>
      </c>
      <c r="J136" s="628" t="str">
        <f>+J$3</f>
        <v>%</v>
      </c>
      <c r="L136" s="581" t="str">
        <f>L3</f>
        <v>B 2025 vs Act 2023</v>
      </c>
      <c r="M136" s="582" t="s">
        <v>142</v>
      </c>
    </row>
    <row r="137" spans="1:13" x14ac:dyDescent="0.3">
      <c r="A137" s="569"/>
      <c r="B137" s="666" t="s">
        <v>99</v>
      </c>
      <c r="C137" s="571"/>
      <c r="D137" s="629"/>
      <c r="E137" s="629"/>
      <c r="F137" s="667"/>
      <c r="G137" s="629"/>
      <c r="I137" s="668"/>
      <c r="J137" s="593"/>
      <c r="L137" s="668"/>
      <c r="M137" s="593"/>
    </row>
    <row r="138" spans="1:13" ht="13.2" x14ac:dyDescent="0.25">
      <c r="A138" s="569"/>
      <c r="B138" s="589" t="s">
        <v>100</v>
      </c>
      <c r="C138" s="590"/>
      <c r="D138" s="669">
        <v>59389.80000000001</v>
      </c>
      <c r="E138" s="669">
        <v>57631.919999999991</v>
      </c>
      <c r="F138" s="595">
        <v>55983.090000000004</v>
      </c>
      <c r="G138" s="669">
        <v>52740.83</v>
      </c>
      <c r="I138" s="668">
        <f t="shared" ref="I138:I146" si="45">D138-E138</f>
        <v>1757.8800000000192</v>
      </c>
      <c r="J138" s="593">
        <f>+I138/E138</f>
        <v>3.0501846893180369E-2</v>
      </c>
      <c r="L138" s="668">
        <f t="shared" ref="L138:L146" si="46">D138-F138</f>
        <v>3406.7100000000064</v>
      </c>
      <c r="M138" s="593">
        <f>+L138/F138</f>
        <v>6.0852482419244923E-2</v>
      </c>
    </row>
    <row r="139" spans="1:13" ht="13.2" x14ac:dyDescent="0.25">
      <c r="A139" s="569"/>
      <c r="B139" s="594" t="s">
        <v>50</v>
      </c>
      <c r="C139" s="571"/>
      <c r="D139" s="595">
        <v>12199.320000000002</v>
      </c>
      <c r="E139" s="595">
        <v>12188.82</v>
      </c>
      <c r="F139" s="595">
        <v>14006.760000000002</v>
      </c>
      <c r="G139" s="595">
        <v>8105.3400000000011</v>
      </c>
      <c r="I139" s="668">
        <f t="shared" si="45"/>
        <v>10.500000000001819</v>
      </c>
      <c r="J139" s="593">
        <f>+I139/E139</f>
        <v>8.6144516040123815E-4</v>
      </c>
      <c r="L139" s="668">
        <f t="shared" si="46"/>
        <v>-1807.4400000000005</v>
      </c>
      <c r="M139" s="593">
        <f>+L139/F139</f>
        <v>-0.12904054899205814</v>
      </c>
    </row>
    <row r="140" spans="1:13" x14ac:dyDescent="0.3">
      <c r="A140" s="569"/>
      <c r="B140" s="594" t="s">
        <v>73</v>
      </c>
      <c r="C140" s="571"/>
      <c r="D140" s="595">
        <v>5400</v>
      </c>
      <c r="E140" s="595">
        <v>4693.1499999999996</v>
      </c>
      <c r="F140" s="595">
        <v>12568.360000000002</v>
      </c>
      <c r="G140" s="670">
        <v>16402.28</v>
      </c>
      <c r="I140" s="668">
        <f t="shared" si="45"/>
        <v>706.85000000000036</v>
      </c>
      <c r="J140" s="593">
        <f>+I140/E140</f>
        <v>0.15061312764348048</v>
      </c>
      <c r="L140" s="668">
        <f t="shared" si="46"/>
        <v>-7168.3600000000024</v>
      </c>
      <c r="M140" s="593">
        <f>+L140/F140</f>
        <v>-0.57034967171532336</v>
      </c>
    </row>
    <row r="141" spans="1:13" ht="13.2" x14ac:dyDescent="0.25">
      <c r="A141" s="569"/>
      <c r="B141" s="671" t="s">
        <v>54</v>
      </c>
      <c r="C141" s="571"/>
      <c r="D141" s="595">
        <v>6652</v>
      </c>
      <c r="E141" s="595">
        <v>5867.32</v>
      </c>
      <c r="F141" s="595">
        <v>8465.4500000000007</v>
      </c>
      <c r="G141" s="595">
        <v>7554.93</v>
      </c>
      <c r="I141" s="668">
        <f t="shared" si="45"/>
        <v>784.68000000000029</v>
      </c>
      <c r="J141" s="593">
        <f>+I141/E141</f>
        <v>0.13373737924640217</v>
      </c>
      <c r="L141" s="668">
        <f t="shared" si="46"/>
        <v>-1813.4500000000007</v>
      </c>
      <c r="M141" s="593">
        <f>+L141/F141</f>
        <v>-0.21421779113927797</v>
      </c>
    </row>
    <row r="142" spans="1:13" ht="13.2" x14ac:dyDescent="0.25">
      <c r="A142" s="569"/>
      <c r="B142" s="589" t="s">
        <v>101</v>
      </c>
      <c r="C142" s="590"/>
      <c r="D142" s="672">
        <f>SUM(D138:D141)</f>
        <v>83641.12000000001</v>
      </c>
      <c r="E142" s="672">
        <f>SUM(E138:E141)</f>
        <v>80381.209999999992</v>
      </c>
      <c r="F142" s="672">
        <f>SUM(F138:F141)</f>
        <v>91023.66</v>
      </c>
      <c r="G142" s="672">
        <f>SUM(G138:G141)</f>
        <v>84803.38</v>
      </c>
      <c r="I142" s="668">
        <f t="shared" si="45"/>
        <v>3259.910000000018</v>
      </c>
      <c r="J142" s="593">
        <f>+I142/E142</f>
        <v>4.0555622389859748E-2</v>
      </c>
      <c r="L142" s="668">
        <f t="shared" si="46"/>
        <v>-7382.5399999999936</v>
      </c>
      <c r="M142" s="593">
        <f>+L142/F142</f>
        <v>-8.1105725698131598E-2</v>
      </c>
    </row>
    <row r="143" spans="1:13" ht="13.2" x14ac:dyDescent="0.25">
      <c r="A143" s="569"/>
      <c r="B143" s="673"/>
      <c r="C143" s="590"/>
      <c r="D143" s="669"/>
      <c r="E143" s="669"/>
      <c r="F143" s="669"/>
      <c r="G143" s="669"/>
      <c r="I143" s="668">
        <f t="shared" si="45"/>
        <v>0</v>
      </c>
      <c r="J143" s="593"/>
      <c r="L143" s="668">
        <f t="shared" si="46"/>
        <v>0</v>
      </c>
      <c r="M143" s="593"/>
    </row>
    <row r="144" spans="1:13" ht="13.2" x14ac:dyDescent="0.25">
      <c r="A144" s="569"/>
      <c r="B144" s="589" t="s">
        <v>102</v>
      </c>
      <c r="C144" s="590"/>
      <c r="D144" s="669"/>
      <c r="E144" s="669"/>
      <c r="F144" s="669"/>
      <c r="G144" s="669"/>
      <c r="I144" s="668">
        <f t="shared" si="45"/>
        <v>0</v>
      </c>
      <c r="J144" s="593"/>
      <c r="L144" s="668">
        <f t="shared" si="46"/>
        <v>0</v>
      </c>
      <c r="M144" s="593"/>
    </row>
    <row r="145" spans="1:13" ht="13.2" x14ac:dyDescent="0.25">
      <c r="A145" s="569"/>
      <c r="B145" s="594"/>
      <c r="C145" s="571"/>
      <c r="D145" s="609"/>
      <c r="E145" s="609"/>
      <c r="F145" s="609"/>
      <c r="G145" s="609"/>
      <c r="I145" s="668">
        <f t="shared" si="45"/>
        <v>0</v>
      </c>
      <c r="J145" s="593"/>
      <c r="L145" s="668">
        <f t="shared" si="46"/>
        <v>0</v>
      </c>
      <c r="M145" s="593"/>
    </row>
    <row r="146" spans="1:13" ht="13.8" thickBot="1" x14ac:dyDescent="0.3">
      <c r="A146" s="569"/>
      <c r="B146" s="610" t="s">
        <v>55</v>
      </c>
      <c r="C146" s="590"/>
      <c r="D146" s="674">
        <f>D142</f>
        <v>83641.12000000001</v>
      </c>
      <c r="E146" s="674">
        <f>E142</f>
        <v>80381.209999999992</v>
      </c>
      <c r="F146" s="674">
        <f>F142</f>
        <v>91023.66</v>
      </c>
      <c r="G146" s="674">
        <f>G142</f>
        <v>84803.38</v>
      </c>
      <c r="I146" s="612">
        <f t="shared" si="45"/>
        <v>3259.910000000018</v>
      </c>
      <c r="J146" s="613">
        <f>+I146/E146</f>
        <v>4.0555622389859748E-2</v>
      </c>
      <c r="L146" s="612">
        <f t="shared" si="46"/>
        <v>-7382.5399999999936</v>
      </c>
      <c r="M146" s="613">
        <f>+L146/F146</f>
        <v>-8.1105725698131598E-2</v>
      </c>
    </row>
    <row r="147" spans="1:13" ht="13.8" thickBot="1" x14ac:dyDescent="0.3">
      <c r="A147" s="569"/>
      <c r="B147" s="618"/>
      <c r="C147" s="619"/>
      <c r="D147" s="615"/>
      <c r="E147" s="615"/>
      <c r="F147" s="615"/>
      <c r="G147" s="615"/>
      <c r="I147" s="649"/>
      <c r="J147" s="640"/>
      <c r="L147" s="649"/>
      <c r="M147" s="640"/>
    </row>
    <row r="148" spans="1:13" ht="13.8" thickBot="1" x14ac:dyDescent="0.3">
      <c r="A148" s="569"/>
      <c r="B148" s="621" t="s">
        <v>56</v>
      </c>
      <c r="C148" s="590"/>
      <c r="D148" s="614"/>
      <c r="E148" s="614"/>
      <c r="F148" s="614"/>
      <c r="G148" s="614"/>
      <c r="I148" s="641"/>
      <c r="J148" s="642"/>
      <c r="L148" s="641"/>
      <c r="M148" s="642"/>
    </row>
    <row r="149" spans="1:13" ht="13.8" thickBot="1" x14ac:dyDescent="0.3">
      <c r="A149" s="569"/>
      <c r="B149" s="643" t="s">
        <v>103</v>
      </c>
      <c r="C149" s="571"/>
      <c r="D149" s="629">
        <v>7200</v>
      </c>
      <c r="E149" s="629">
        <v>6000</v>
      </c>
      <c r="F149" s="629">
        <v>4500</v>
      </c>
      <c r="G149" s="629">
        <v>4500</v>
      </c>
      <c r="I149" s="644">
        <f>D149-E149</f>
        <v>1200</v>
      </c>
      <c r="J149" s="645"/>
      <c r="L149" s="644">
        <f>D149-F149</f>
        <v>2700</v>
      </c>
      <c r="M149" s="645">
        <f>+L149/F149</f>
        <v>0.6</v>
      </c>
    </row>
    <row r="150" spans="1:13" ht="13.8" thickBot="1" x14ac:dyDescent="0.3">
      <c r="A150" s="569"/>
      <c r="B150" s="594" t="s">
        <v>104</v>
      </c>
      <c r="C150" s="571"/>
      <c r="D150" s="595"/>
      <c r="E150" s="595"/>
      <c r="F150" s="595"/>
      <c r="G150" s="595"/>
      <c r="I150" s="592">
        <f>E150-F150</f>
        <v>0</v>
      </c>
      <c r="J150" s="593"/>
      <c r="L150" s="644">
        <f t="shared" ref="L150:L152" si="47">D150-F150</f>
        <v>0</v>
      </c>
      <c r="M150" s="645"/>
    </row>
    <row r="151" spans="1:13" ht="13.8" thickBot="1" x14ac:dyDescent="0.3">
      <c r="A151" s="569"/>
      <c r="B151" s="594" t="s">
        <v>94</v>
      </c>
      <c r="C151" s="571"/>
      <c r="D151" s="609"/>
      <c r="E151" s="609"/>
      <c r="F151" s="609"/>
      <c r="G151" s="609">
        <v>320.99</v>
      </c>
      <c r="I151" s="601">
        <f>E151-F151</f>
        <v>0</v>
      </c>
      <c r="J151" s="602"/>
      <c r="L151" s="644">
        <f t="shared" si="47"/>
        <v>0</v>
      </c>
      <c r="M151" s="645"/>
    </row>
    <row r="152" spans="1:13" ht="13.8" thickBot="1" x14ac:dyDescent="0.3">
      <c r="A152" s="569"/>
      <c r="B152" s="610" t="s">
        <v>67</v>
      </c>
      <c r="C152" s="590"/>
      <c r="D152" s="675">
        <f t="shared" ref="D152:G152" si="48">SUM(D149:D151)</f>
        <v>7200</v>
      </c>
      <c r="E152" s="675">
        <f t="shared" si="48"/>
        <v>6000</v>
      </c>
      <c r="F152" s="675">
        <f t="shared" si="48"/>
        <v>4500</v>
      </c>
      <c r="G152" s="675">
        <f t="shared" si="48"/>
        <v>4820.99</v>
      </c>
      <c r="I152" s="648">
        <f>E152-F152</f>
        <v>1500</v>
      </c>
      <c r="J152" s="676">
        <f>+I152/F152</f>
        <v>0.33333333333333331</v>
      </c>
      <c r="L152" s="644">
        <f t="shared" si="47"/>
        <v>2700</v>
      </c>
      <c r="M152" s="645">
        <f t="shared" ref="M152" si="49">+L152/F152</f>
        <v>0.6</v>
      </c>
    </row>
    <row r="153" spans="1:13" ht="13.8" thickBot="1" x14ac:dyDescent="0.3">
      <c r="A153" s="569"/>
      <c r="B153" s="618"/>
      <c r="C153" s="619"/>
      <c r="D153" s="615"/>
      <c r="E153" s="615"/>
      <c r="F153" s="615"/>
      <c r="G153" s="615"/>
      <c r="I153" s="639"/>
      <c r="J153" s="640"/>
      <c r="L153" s="639"/>
      <c r="M153" s="640"/>
    </row>
    <row r="154" spans="1:13" ht="13.8" thickBot="1" x14ac:dyDescent="0.3">
      <c r="A154" s="569"/>
      <c r="B154" s="621" t="s">
        <v>68</v>
      </c>
      <c r="C154" s="590"/>
      <c r="D154" s="614"/>
      <c r="E154" s="614"/>
      <c r="F154" s="614"/>
      <c r="G154" s="614"/>
      <c r="I154" s="641"/>
      <c r="J154" s="642"/>
      <c r="L154" s="641"/>
      <c r="M154" s="642"/>
    </row>
    <row r="155" spans="1:13" ht="13.8" thickBot="1" x14ac:dyDescent="0.3">
      <c r="A155" s="569"/>
      <c r="B155" s="651" t="s">
        <v>69</v>
      </c>
      <c r="C155" s="590"/>
      <c r="D155" s="652">
        <f t="shared" ref="D155:G155" si="50">D146+D152</f>
        <v>90841.12000000001</v>
      </c>
      <c r="E155" s="652">
        <f t="shared" si="50"/>
        <v>86381.209999999992</v>
      </c>
      <c r="F155" s="652">
        <f t="shared" si="50"/>
        <v>95523.66</v>
      </c>
      <c r="G155" s="652">
        <f t="shared" si="50"/>
        <v>89624.37000000001</v>
      </c>
      <c r="I155" s="661">
        <f>D155-E155</f>
        <v>4459.910000000018</v>
      </c>
      <c r="J155" s="654">
        <f>+I155/F155</f>
        <v>4.668906111847073E-2</v>
      </c>
      <c r="L155" s="661">
        <f>D155-F155</f>
        <v>-4682.5399999999936</v>
      </c>
      <c r="M155" s="654">
        <f>+L155/F155</f>
        <v>-4.9019687897218278E-2</v>
      </c>
    </row>
    <row r="156" spans="1:13" ht="13.2" x14ac:dyDescent="0.25">
      <c r="A156" s="569"/>
      <c r="B156" s="570"/>
      <c r="C156" s="590"/>
      <c r="D156" s="614"/>
      <c r="E156" s="614"/>
      <c r="F156" s="614"/>
      <c r="G156" s="614"/>
      <c r="I156" s="655"/>
      <c r="J156" s="656"/>
      <c r="L156" s="655"/>
      <c r="M156" s="656"/>
    </row>
    <row r="157" spans="1:13" ht="13.8" thickBot="1" x14ac:dyDescent="0.3">
      <c r="A157" s="569"/>
      <c r="B157" s="618"/>
      <c r="C157" s="619"/>
      <c r="D157" s="615"/>
      <c r="E157" s="615"/>
      <c r="F157" s="615"/>
      <c r="G157" s="615"/>
      <c r="I157" s="639"/>
      <c r="J157" s="640"/>
      <c r="L157" s="639"/>
      <c r="M157" s="640"/>
    </row>
    <row r="158" spans="1:13" ht="13.8" thickBot="1" x14ac:dyDescent="0.3">
      <c r="A158" s="569"/>
      <c r="B158" s="621" t="s">
        <v>105</v>
      </c>
      <c r="C158" s="590"/>
      <c r="D158" s="614"/>
      <c r="E158" s="614"/>
      <c r="F158" s="614"/>
      <c r="G158" s="614"/>
      <c r="I158" s="657"/>
      <c r="J158" s="658"/>
      <c r="L158" s="657"/>
      <c r="M158" s="658"/>
    </row>
    <row r="159" spans="1:13" ht="13.8" thickBot="1" x14ac:dyDescent="0.3">
      <c r="A159" s="569"/>
      <c r="B159" s="618"/>
      <c r="C159" s="619"/>
      <c r="D159" s="615"/>
      <c r="E159" s="615"/>
      <c r="F159" s="615"/>
      <c r="G159" s="615"/>
      <c r="I159" s="659"/>
      <c r="J159" s="626"/>
      <c r="L159" s="659"/>
      <c r="M159" s="626"/>
    </row>
    <row r="160" spans="1:13" ht="13.8" thickBot="1" x14ac:dyDescent="0.3">
      <c r="A160" s="569"/>
      <c r="B160" s="627" t="s">
        <v>56</v>
      </c>
      <c r="C160" s="590"/>
      <c r="D160" s="580" t="str">
        <f>D3</f>
        <v>BUDGET 2025</v>
      </c>
      <c r="E160" s="580" t="str">
        <f>E3</f>
        <v>ACTUAL 2024</v>
      </c>
      <c r="F160" s="580" t="s">
        <v>371</v>
      </c>
      <c r="G160" s="580" t="s">
        <v>231</v>
      </c>
      <c r="I160" s="581" t="str">
        <f>I3</f>
        <v>B 2025 vs Act 2024</v>
      </c>
      <c r="J160" s="628" t="str">
        <f>+J$3</f>
        <v>%</v>
      </c>
      <c r="L160" s="581" t="str">
        <f>L3</f>
        <v>B 2025 vs Act 2023</v>
      </c>
      <c r="M160" s="582" t="s">
        <v>142</v>
      </c>
    </row>
    <row r="161" spans="1:13" ht="13.2" x14ac:dyDescent="0.25">
      <c r="A161" s="569"/>
      <c r="B161" s="594" t="s">
        <v>106</v>
      </c>
      <c r="C161" s="571"/>
      <c r="D161" s="663">
        <v>277724</v>
      </c>
      <c r="E161" s="663">
        <v>266388.82</v>
      </c>
      <c r="F161" s="629">
        <v>269622.20999999996</v>
      </c>
      <c r="G161" s="629">
        <v>233809.38000000003</v>
      </c>
      <c r="I161" s="592">
        <f>D161-E161</f>
        <v>11335.179999999993</v>
      </c>
      <c r="J161" s="593">
        <f>+I161/E161</f>
        <v>4.2551260221806581E-2</v>
      </c>
      <c r="L161" s="592">
        <f>D161-F161</f>
        <v>8101.7900000000373</v>
      </c>
      <c r="M161" s="593">
        <f>+L161/F161</f>
        <v>3.0048674402602213E-2</v>
      </c>
    </row>
    <row r="162" spans="1:13" ht="13.2" x14ac:dyDescent="0.25">
      <c r="A162" s="569"/>
      <c r="B162" s="594" t="s">
        <v>107</v>
      </c>
      <c r="C162" s="571"/>
      <c r="D162" s="606">
        <v>89962</v>
      </c>
      <c r="E162" s="606">
        <v>80125.64</v>
      </c>
      <c r="F162" s="595">
        <v>76319.350000000006</v>
      </c>
      <c r="G162" s="595">
        <v>55327.950000000012</v>
      </c>
      <c r="I162" s="592">
        <f>D162-E162</f>
        <v>9836.36</v>
      </c>
      <c r="J162" s="593">
        <f>+I162/E162</f>
        <v>0.12276170274583767</v>
      </c>
      <c r="L162" s="592">
        <f>D162-F162</f>
        <v>13642.649999999994</v>
      </c>
      <c r="M162" s="593">
        <f>+L162/F162</f>
        <v>0.17875741866250161</v>
      </c>
    </row>
    <row r="163" spans="1:13" ht="13.2" x14ac:dyDescent="0.25">
      <c r="A163" s="569"/>
      <c r="B163" s="594" t="s">
        <v>108</v>
      </c>
      <c r="C163" s="571"/>
      <c r="D163" s="609">
        <v>49421.5</v>
      </c>
      <c r="E163" s="609">
        <v>45676.1</v>
      </c>
      <c r="F163" s="609">
        <v>43827.73</v>
      </c>
      <c r="G163" s="609">
        <v>48651.11</v>
      </c>
      <c r="I163" s="601">
        <f>D163-E163</f>
        <v>3745.4000000000015</v>
      </c>
      <c r="J163" s="602">
        <f>+I163/E163</f>
        <v>8.1999119889833008E-2</v>
      </c>
      <c r="L163" s="601">
        <f>D163-F163</f>
        <v>5593.7699999999968</v>
      </c>
      <c r="M163" s="602">
        <f>+L163/F163</f>
        <v>0.12763084010967476</v>
      </c>
    </row>
    <row r="164" spans="1:13" ht="13.8" thickBot="1" x14ac:dyDescent="0.3">
      <c r="A164" s="569"/>
      <c r="B164" s="610" t="s">
        <v>67</v>
      </c>
      <c r="C164" s="590"/>
      <c r="D164" s="675">
        <f t="shared" ref="D164:G164" si="51">SUM(D161:D163)</f>
        <v>417107.5</v>
      </c>
      <c r="E164" s="675">
        <f t="shared" si="51"/>
        <v>392190.56</v>
      </c>
      <c r="F164" s="675">
        <f t="shared" si="51"/>
        <v>389769.28999999992</v>
      </c>
      <c r="G164" s="675">
        <f t="shared" si="51"/>
        <v>337788.44000000006</v>
      </c>
      <c r="I164" s="612">
        <f>E164-F164</f>
        <v>2421.2700000000768</v>
      </c>
      <c r="J164" s="613">
        <f>+I164/E164</f>
        <v>6.1737080056186895E-3</v>
      </c>
      <c r="L164" s="612">
        <f>D164-F164</f>
        <v>27338.210000000079</v>
      </c>
      <c r="M164" s="613">
        <f>+L164/F164</f>
        <v>7.0139466349439905E-2</v>
      </c>
    </row>
    <row r="165" spans="1:13" ht="13.2" x14ac:dyDescent="0.25">
      <c r="A165" s="569"/>
      <c r="B165" s="618"/>
      <c r="C165" s="619"/>
      <c r="D165" s="619"/>
      <c r="E165" s="615"/>
      <c r="F165" s="615"/>
      <c r="G165" s="615"/>
      <c r="I165" s="639"/>
      <c r="J165" s="640"/>
      <c r="L165" s="639"/>
      <c r="M165" s="640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BCE64-8F50-466C-8A1E-E7602EE178BA}">
  <sheetPr>
    <tabColor rgb="FFFFFF00"/>
  </sheetPr>
  <dimension ref="C2:Q16"/>
  <sheetViews>
    <sheetView topLeftCell="B1" workbookViewId="0">
      <selection activeCell="Q16" sqref="Q16"/>
    </sheetView>
  </sheetViews>
  <sheetFormatPr defaultRowHeight="14.4" x14ac:dyDescent="0.3"/>
  <cols>
    <col min="2" max="2" width="1.44140625" customWidth="1"/>
    <col min="3" max="3" width="21.21875" customWidth="1"/>
    <col min="4" max="14" width="11.21875" bestFit="1" customWidth="1"/>
    <col min="15" max="15" width="12.33203125" customWidth="1"/>
    <col min="16" max="16" width="11.33203125" customWidth="1"/>
    <col min="17" max="17" width="12.77734375" bestFit="1" customWidth="1"/>
  </cols>
  <sheetData>
    <row r="2" spans="3:17" x14ac:dyDescent="0.3">
      <c r="C2" s="518" t="s">
        <v>667</v>
      </c>
    </row>
    <row r="3" spans="3:17" x14ac:dyDescent="0.3">
      <c r="C3" s="518"/>
    </row>
    <row r="4" spans="3:17" x14ac:dyDescent="0.3">
      <c r="D4" s="519" t="s">
        <v>668</v>
      </c>
      <c r="E4" s="519" t="s">
        <v>669</v>
      </c>
      <c r="F4" s="519" t="s">
        <v>670</v>
      </c>
      <c r="G4" s="519" t="s">
        <v>671</v>
      </c>
      <c r="H4" s="519" t="s">
        <v>136</v>
      </c>
      <c r="I4" s="519" t="s">
        <v>672</v>
      </c>
      <c r="J4" s="519" t="s">
        <v>673</v>
      </c>
      <c r="K4" s="519" t="s">
        <v>674</v>
      </c>
      <c r="L4" s="519" t="s">
        <v>675</v>
      </c>
      <c r="M4" s="519" t="s">
        <v>676</v>
      </c>
      <c r="N4" s="519" t="s">
        <v>677</v>
      </c>
      <c r="O4" s="519" t="s">
        <v>678</v>
      </c>
      <c r="P4" s="519" t="s">
        <v>651</v>
      </c>
    </row>
    <row r="5" spans="3:17" ht="30" customHeight="1" x14ac:dyDescent="0.3">
      <c r="C5" s="753" t="s">
        <v>679</v>
      </c>
      <c r="D5" s="806">
        <v>226553</v>
      </c>
      <c r="E5" s="807">
        <v>226553</v>
      </c>
      <c r="F5" s="807">
        <v>226552</v>
      </c>
      <c r="G5" s="807">
        <v>226553</v>
      </c>
      <c r="H5" s="807">
        <v>226553</v>
      </c>
      <c r="I5" s="807">
        <v>227442</v>
      </c>
      <c r="J5" s="807">
        <v>227464</v>
      </c>
      <c r="K5" s="807">
        <v>227463</v>
      </c>
      <c r="L5" s="807">
        <v>227462</v>
      </c>
      <c r="M5" s="807">
        <v>227461</v>
      </c>
      <c r="N5" s="807">
        <v>227461</v>
      </c>
      <c r="O5" s="807">
        <v>227461</v>
      </c>
      <c r="P5" s="807">
        <f>SUM(D5:O5)</f>
        <v>2724978</v>
      </c>
    </row>
    <row r="6" spans="3:17" s="753" customFormat="1" ht="29.4" customHeight="1" x14ac:dyDescent="0.3">
      <c r="C6" s="753" t="s">
        <v>680</v>
      </c>
      <c r="D6" s="808">
        <v>228396</v>
      </c>
      <c r="E6" s="809">
        <v>228396</v>
      </c>
      <c r="F6" s="809">
        <v>228396</v>
      </c>
      <c r="G6" s="809">
        <v>228396</v>
      </c>
      <c r="H6" s="809">
        <f>(2999950-(D6+E6+F6+G6))/8</f>
        <v>260795.75</v>
      </c>
      <c r="I6" s="809">
        <f>H6</f>
        <v>260795.75</v>
      </c>
      <c r="J6" s="809">
        <f t="shared" ref="J6:O6" si="0">I6</f>
        <v>260795.75</v>
      </c>
      <c r="K6" s="809">
        <f t="shared" si="0"/>
        <v>260795.75</v>
      </c>
      <c r="L6" s="809">
        <f t="shared" si="0"/>
        <v>260795.75</v>
      </c>
      <c r="M6" s="809">
        <f t="shared" si="0"/>
        <v>260795.75</v>
      </c>
      <c r="N6" s="809">
        <f t="shared" si="0"/>
        <v>260795.75</v>
      </c>
      <c r="O6" s="809">
        <f t="shared" si="0"/>
        <v>260795.75</v>
      </c>
      <c r="P6" s="809">
        <f>SUM(D6:O6)</f>
        <v>2999950</v>
      </c>
      <c r="Q6" s="810">
        <f>(P6/P5)-1</f>
        <v>0.10090797063315748</v>
      </c>
    </row>
    <row r="7" spans="3:17" s="753" customFormat="1" ht="30" customHeight="1" x14ac:dyDescent="0.3">
      <c r="C7" s="753" t="s">
        <v>681</v>
      </c>
      <c r="D7" s="808">
        <f>D5/166</f>
        <v>1364.7771084337348</v>
      </c>
      <c r="E7" s="809">
        <f>E5/166</f>
        <v>1364.7771084337348</v>
      </c>
      <c r="F7" s="809">
        <f>F5/166</f>
        <v>1364.7710843373493</v>
      </c>
      <c r="G7" s="809">
        <f>G5/166</f>
        <v>1364.7771084337348</v>
      </c>
      <c r="H7" s="809">
        <f>H5/166</f>
        <v>1364.7771084337348</v>
      </c>
      <c r="I7" s="809">
        <f>I5/166</f>
        <v>1370.132530120482</v>
      </c>
      <c r="J7" s="809">
        <f>J5/166</f>
        <v>1370.2650602409637</v>
      </c>
      <c r="K7" s="809">
        <f>K5/166</f>
        <v>1370.2590361445782</v>
      </c>
      <c r="L7" s="809">
        <f>L5/166</f>
        <v>1370.2530120481927</v>
      </c>
      <c r="M7" s="809">
        <f>M5/166</f>
        <v>1370.2469879518073</v>
      </c>
      <c r="N7" s="809">
        <f>N5/166</f>
        <v>1370.2469879518073</v>
      </c>
      <c r="O7" s="809">
        <f>O5/166</f>
        <v>1370.2469879518073</v>
      </c>
      <c r="P7" s="809">
        <f>SUM(D7:O7)</f>
        <v>16415.530120481926</v>
      </c>
      <c r="Q7" s="811"/>
    </row>
    <row r="8" spans="3:17" s="753" customFormat="1" ht="30" customHeight="1" x14ac:dyDescent="0.3">
      <c r="C8" s="753" t="s">
        <v>682</v>
      </c>
      <c r="D8" s="808">
        <f>D6/166</f>
        <v>1375.8795180722891</v>
      </c>
      <c r="E8" s="809">
        <f>E6/166</f>
        <v>1375.8795180722891</v>
      </c>
      <c r="F8" s="809">
        <f>F6/166</f>
        <v>1375.8795180722891</v>
      </c>
      <c r="G8" s="809">
        <f>G6/166</f>
        <v>1375.8795180722891</v>
      </c>
      <c r="H8" s="809">
        <f>H6/166</f>
        <v>1571.058734939759</v>
      </c>
      <c r="I8" s="809">
        <f>I6/166</f>
        <v>1571.058734939759</v>
      </c>
      <c r="J8" s="809">
        <f>J6/166</f>
        <v>1571.058734939759</v>
      </c>
      <c r="K8" s="809">
        <f>K6/166</f>
        <v>1571.058734939759</v>
      </c>
      <c r="L8" s="809">
        <f>L6/166</f>
        <v>1571.058734939759</v>
      </c>
      <c r="M8" s="809">
        <f>M6/166</f>
        <v>1571.058734939759</v>
      </c>
      <c r="N8" s="809">
        <f>N6/166</f>
        <v>1571.058734939759</v>
      </c>
      <c r="O8" s="809">
        <f>O6/166</f>
        <v>1571.058734939759</v>
      </c>
      <c r="P8" s="809">
        <f>SUM(D8:O8)</f>
        <v>18071.987951807227</v>
      </c>
      <c r="Q8" s="811"/>
    </row>
    <row r="9" spans="3:17" s="753" customFormat="1" ht="9.6" customHeight="1" x14ac:dyDescent="0.3">
      <c r="D9" s="808"/>
      <c r="E9" s="809"/>
      <c r="F9" s="809"/>
      <c r="G9" s="809"/>
      <c r="H9" s="809"/>
      <c r="I9" s="809"/>
      <c r="J9" s="809"/>
      <c r="K9" s="809"/>
      <c r="L9" s="809"/>
      <c r="M9" s="809"/>
      <c r="N9" s="809"/>
      <c r="O9" s="809"/>
      <c r="P9" s="809"/>
    </row>
    <row r="10" spans="3:17" s="753" customFormat="1" ht="30" customHeight="1" x14ac:dyDescent="0.3">
      <c r="C10" s="753" t="s">
        <v>683</v>
      </c>
      <c r="D10" s="808">
        <f>D8-D7</f>
        <v>11.102409638554263</v>
      </c>
      <c r="E10" s="809">
        <f t="shared" ref="E10:P10" si="1">E8-E7</f>
        <v>11.102409638554263</v>
      </c>
      <c r="F10" s="809">
        <f t="shared" si="1"/>
        <v>11.108433734939808</v>
      </c>
      <c r="G10" s="809">
        <f t="shared" si="1"/>
        <v>11.102409638554263</v>
      </c>
      <c r="H10" s="809">
        <f t="shared" si="1"/>
        <v>206.28162650602417</v>
      </c>
      <c r="I10" s="809">
        <f t="shared" si="1"/>
        <v>200.92620481927702</v>
      </c>
      <c r="J10" s="809">
        <f t="shared" si="1"/>
        <v>200.79367469879526</v>
      </c>
      <c r="K10" s="809">
        <f t="shared" si="1"/>
        <v>200.7996987951808</v>
      </c>
      <c r="L10" s="809">
        <f t="shared" si="1"/>
        <v>200.80572289156635</v>
      </c>
      <c r="M10" s="809">
        <f t="shared" si="1"/>
        <v>200.81174698795166</v>
      </c>
      <c r="N10" s="809">
        <f t="shared" si="1"/>
        <v>200.81174698795166</v>
      </c>
      <c r="O10" s="809">
        <f t="shared" si="1"/>
        <v>200.81174698795166</v>
      </c>
      <c r="P10" s="809">
        <f t="shared" si="1"/>
        <v>1656.4578313253005</v>
      </c>
    </row>
    <row r="11" spans="3:17" s="753" customFormat="1" ht="30" customHeight="1" x14ac:dyDescent="0.3">
      <c r="C11" s="753" t="s">
        <v>142</v>
      </c>
      <c r="D11" s="812">
        <f>(D8/D7)-1</f>
        <v>8.1349617970187804E-3</v>
      </c>
      <c r="E11" s="810">
        <f t="shared" ref="E11:P11" si="2">(E8/E7)-1</f>
        <v>8.1349617970187804E-3</v>
      </c>
      <c r="F11" s="810">
        <f t="shared" si="2"/>
        <v>8.139411702390742E-3</v>
      </c>
      <c r="G11" s="810">
        <f t="shared" si="2"/>
        <v>8.1349617970187804E-3</v>
      </c>
      <c r="H11" s="810">
        <f t="shared" si="2"/>
        <v>0.15114675153275403</v>
      </c>
      <c r="I11" s="810">
        <f t="shared" si="2"/>
        <v>0.14664727710800984</v>
      </c>
      <c r="J11" s="810">
        <f t="shared" si="2"/>
        <v>0.14653637498681116</v>
      </c>
      <c r="K11" s="810">
        <f t="shared" si="2"/>
        <v>0.1465414155269209</v>
      </c>
      <c r="L11" s="810">
        <f t="shared" si="2"/>
        <v>0.14654645611135053</v>
      </c>
      <c r="M11" s="810">
        <f t="shared" si="2"/>
        <v>0.14655149674010048</v>
      </c>
      <c r="N11" s="810">
        <f t="shared" si="2"/>
        <v>0.14655149674010048</v>
      </c>
      <c r="O11" s="810">
        <f t="shared" si="2"/>
        <v>0.14655149674010048</v>
      </c>
      <c r="P11" s="810">
        <f t="shared" si="2"/>
        <v>0.10090797063315726</v>
      </c>
    </row>
    <row r="12" spans="3:17" x14ac:dyDescent="0.3">
      <c r="D12" s="813"/>
      <c r="E12" s="813"/>
      <c r="F12" s="813"/>
      <c r="G12" s="813"/>
      <c r="H12" s="813"/>
      <c r="I12" s="813"/>
      <c r="J12" s="813"/>
      <c r="K12" s="813"/>
      <c r="L12" s="813"/>
      <c r="M12" s="813"/>
      <c r="N12" s="813"/>
      <c r="O12" s="813"/>
      <c r="P12" s="813"/>
    </row>
    <row r="14" spans="3:17" ht="30" customHeight="1" x14ac:dyDescent="0.3">
      <c r="C14" s="519" t="s">
        <v>658</v>
      </c>
    </row>
    <row r="15" spans="3:17" ht="30" customHeight="1" x14ac:dyDescent="0.3">
      <c r="C15" s="814" t="s">
        <v>684</v>
      </c>
      <c r="D15" s="815"/>
      <c r="E15" s="815"/>
      <c r="F15" s="815"/>
      <c r="G15" s="815"/>
      <c r="H15" s="815"/>
      <c r="I15" s="815"/>
      <c r="J15" s="815"/>
      <c r="K15" s="815"/>
      <c r="L15" s="816"/>
    </row>
    <row r="16" spans="3:17" ht="30" customHeight="1" x14ac:dyDescent="0.3">
      <c r="C16" s="817" t="s">
        <v>685</v>
      </c>
      <c r="D16" s="818"/>
      <c r="E16" s="818"/>
      <c r="F16" s="818"/>
      <c r="G16" s="818"/>
      <c r="H16" s="818"/>
      <c r="I16" s="818"/>
      <c r="J16" s="818"/>
      <c r="K16" s="818"/>
      <c r="L16" s="819"/>
    </row>
  </sheetData>
  <pageMargins left="0.2" right="0.2" top="0.75" bottom="0.75" header="0.3" footer="0.3"/>
  <pageSetup scale="70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858A7-80A6-4997-AD0B-B63245248E40}">
  <sheetPr>
    <tabColor rgb="FFFFFF00"/>
  </sheetPr>
  <dimension ref="A2:F15"/>
  <sheetViews>
    <sheetView tabSelected="1" zoomScale="120" zoomScaleNormal="120" workbookViewId="0">
      <selection activeCell="A10" sqref="A10"/>
    </sheetView>
  </sheetViews>
  <sheetFormatPr defaultRowHeight="14.4" x14ac:dyDescent="0.3"/>
  <cols>
    <col min="1" max="1" width="27.77734375" customWidth="1"/>
    <col min="3" max="3" width="20.88671875" style="799" customWidth="1"/>
    <col min="4" max="4" width="14" style="799" customWidth="1"/>
    <col min="5" max="5" width="17.6640625" style="800" customWidth="1"/>
  </cols>
  <sheetData>
    <row r="2" spans="1:6" x14ac:dyDescent="0.3">
      <c r="C2" s="802" t="s">
        <v>116</v>
      </c>
      <c r="D2" s="802" t="s">
        <v>124</v>
      </c>
      <c r="E2" s="519"/>
    </row>
    <row r="3" spans="1:6" x14ac:dyDescent="0.3">
      <c r="C3" s="803">
        <v>2025</v>
      </c>
      <c r="D3" s="803">
        <v>2023</v>
      </c>
      <c r="E3" s="519" t="s">
        <v>665</v>
      </c>
      <c r="F3" t="s">
        <v>142</v>
      </c>
    </row>
    <row r="5" spans="1:6" x14ac:dyDescent="0.3">
      <c r="A5" t="s">
        <v>662</v>
      </c>
      <c r="C5" s="799">
        <v>2999950.0799999996</v>
      </c>
      <c r="D5" s="799">
        <v>2724978</v>
      </c>
      <c r="E5" s="801">
        <f>C5-D5</f>
        <v>274972.07999999961</v>
      </c>
      <c r="F5" s="298">
        <f>E5/D5</f>
        <v>0.10090799999119245</v>
      </c>
    </row>
    <row r="6" spans="1:6" x14ac:dyDescent="0.3">
      <c r="E6" s="801"/>
      <c r="F6" s="298"/>
    </row>
    <row r="7" spans="1:6" x14ac:dyDescent="0.3">
      <c r="A7" t="s">
        <v>663</v>
      </c>
      <c r="C7" s="799">
        <f>353033.63+140794</f>
        <v>493827.63</v>
      </c>
      <c r="D7" s="799">
        <f>323856+53441</f>
        <v>377297</v>
      </c>
      <c r="E7" s="801">
        <f t="shared" ref="E7:E11" si="0">C7-D7</f>
        <v>116530.63</v>
      </c>
      <c r="F7" s="298"/>
    </row>
    <row r="8" spans="1:6" x14ac:dyDescent="0.3">
      <c r="A8" t="s">
        <v>664</v>
      </c>
      <c r="C8" s="799">
        <f>93140</f>
        <v>93140</v>
      </c>
      <c r="D8" s="799">
        <v>63860</v>
      </c>
      <c r="E8" s="801">
        <f t="shared" si="0"/>
        <v>29280</v>
      </c>
      <c r="F8" s="298"/>
    </row>
    <row r="9" spans="1:6" x14ac:dyDescent="0.3">
      <c r="A9" t="s">
        <v>446</v>
      </c>
      <c r="C9" s="799">
        <f>248797</f>
        <v>248797</v>
      </c>
      <c r="D9" s="799">
        <f>445719-205542</f>
        <v>240177</v>
      </c>
      <c r="E9" s="801">
        <f t="shared" si="0"/>
        <v>8620</v>
      </c>
      <c r="F9" s="298"/>
    </row>
    <row r="10" spans="1:6" x14ac:dyDescent="0.3">
      <c r="A10" t="s">
        <v>25</v>
      </c>
      <c r="C10" s="799">
        <v>777877</v>
      </c>
      <c r="D10" s="799">
        <v>733224</v>
      </c>
      <c r="E10" s="801">
        <f t="shared" si="0"/>
        <v>44653</v>
      </c>
      <c r="F10" s="298"/>
    </row>
    <row r="11" spans="1:6" x14ac:dyDescent="0.3">
      <c r="A11" t="s">
        <v>659</v>
      </c>
      <c r="C11" s="799">
        <f>'P&amp;L Budget 2025'!D80+'P&amp;L Budget 2025'!D114+'P&amp;L Budget 2025'!D142</f>
        <v>952360.92173486075</v>
      </c>
      <c r="D11" s="799">
        <f>'P&amp;L Budget 2025'!F80+'P&amp;L Budget 2025'!F114+'P&amp;L Budget 2025'!F146</f>
        <v>846343.63000000012</v>
      </c>
      <c r="E11" s="801">
        <f t="shared" si="0"/>
        <v>106017.29173486063</v>
      </c>
      <c r="F11" s="298"/>
    </row>
    <row r="12" spans="1:6" x14ac:dyDescent="0.3">
      <c r="A12" t="s">
        <v>711</v>
      </c>
      <c r="E12" s="801">
        <f>274972-305100</f>
        <v>-30128</v>
      </c>
    </row>
    <row r="14" spans="1:6" ht="15" thickBot="1" x14ac:dyDescent="0.35">
      <c r="A14" s="804" t="s">
        <v>651</v>
      </c>
      <c r="B14" s="804"/>
      <c r="C14" s="805">
        <f>SUM(C7:C9)</f>
        <v>835764.63</v>
      </c>
      <c r="D14" s="805">
        <f t="shared" ref="D14" si="1">SUM(D7:D9)</f>
        <v>681334</v>
      </c>
      <c r="E14" s="805">
        <f>SUM(E7:E12)</f>
        <v>274972.92173486063</v>
      </c>
    </row>
    <row r="15" spans="1:6" ht="15" thickTop="1" x14ac:dyDescent="0.3"/>
  </sheetData>
  <pageMargins left="0.7" right="0.7" top="0.75" bottom="0.75" header="0.3" footer="0.3"/>
  <pageSetup scale="85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3780F-C854-4E9B-8999-433B15AA328E}">
  <sheetPr>
    <tabColor rgb="FFFFFF00"/>
  </sheetPr>
  <dimension ref="B1:H27"/>
  <sheetViews>
    <sheetView zoomScale="110" zoomScaleNormal="110" workbookViewId="0">
      <selection activeCell="L12" sqref="L12"/>
    </sheetView>
  </sheetViews>
  <sheetFormatPr defaultRowHeight="14.4" x14ac:dyDescent="0.3"/>
  <cols>
    <col min="1" max="1" width="1.88671875" customWidth="1"/>
    <col min="2" max="2" width="20.33203125" customWidth="1"/>
    <col min="3" max="3" width="1.88671875" customWidth="1"/>
    <col min="4" max="4" width="2.44140625" customWidth="1"/>
    <col min="5" max="5" width="9.6640625" customWidth="1"/>
  </cols>
  <sheetData>
    <row r="1" spans="2:7" ht="6.6" customHeight="1" x14ac:dyDescent="0.3"/>
    <row r="2" spans="2:7" ht="22.2" x14ac:dyDescent="0.35">
      <c r="B2" s="820"/>
      <c r="C2" s="821"/>
      <c r="D2" s="821"/>
      <c r="E2" s="821" t="s">
        <v>686</v>
      </c>
      <c r="F2" s="822"/>
      <c r="G2" s="822"/>
    </row>
    <row r="3" spans="2:7" ht="16.8" customHeight="1" x14ac:dyDescent="0.35">
      <c r="B3" s="820"/>
      <c r="C3" s="821"/>
      <c r="D3" s="821"/>
      <c r="E3" s="820"/>
      <c r="F3" s="822"/>
      <c r="G3" s="822"/>
    </row>
    <row r="4" spans="2:7" ht="15.6" x14ac:dyDescent="0.3">
      <c r="B4" s="823" t="s">
        <v>687</v>
      </c>
      <c r="C4" s="823"/>
      <c r="D4" s="823"/>
      <c r="E4" s="823"/>
      <c r="G4" s="822"/>
    </row>
    <row r="5" spans="2:7" ht="15.6" x14ac:dyDescent="0.3">
      <c r="B5" s="823"/>
      <c r="C5" s="823"/>
      <c r="D5" s="823"/>
      <c r="E5" s="823" t="s">
        <v>688</v>
      </c>
      <c r="F5" s="823"/>
      <c r="G5" s="822"/>
    </row>
    <row r="6" spans="2:7" ht="15.6" x14ac:dyDescent="0.3">
      <c r="B6" s="823"/>
      <c r="C6" s="823"/>
      <c r="D6" s="823"/>
      <c r="E6" s="823" t="s">
        <v>689</v>
      </c>
      <c r="F6" s="823"/>
      <c r="G6" s="822"/>
    </row>
    <row r="7" spans="2:7" ht="15.6" x14ac:dyDescent="0.3">
      <c r="B7" s="823"/>
      <c r="C7" s="823"/>
      <c r="D7" s="823"/>
      <c r="E7" s="823" t="s">
        <v>690</v>
      </c>
      <c r="F7" s="823"/>
      <c r="G7" s="822"/>
    </row>
    <row r="8" spans="2:7" ht="10.199999999999999" customHeight="1" x14ac:dyDescent="0.3">
      <c r="B8" s="822"/>
      <c r="C8" s="822"/>
      <c r="D8" s="822"/>
      <c r="E8" s="822"/>
      <c r="F8" s="822"/>
      <c r="G8" s="822"/>
    </row>
    <row r="9" spans="2:7" ht="15.6" x14ac:dyDescent="0.3">
      <c r="B9" s="823" t="s">
        <v>691</v>
      </c>
      <c r="C9" s="823"/>
      <c r="D9" s="823"/>
      <c r="E9" s="823" t="s">
        <v>692</v>
      </c>
      <c r="F9" s="823"/>
      <c r="G9" s="823"/>
    </row>
    <row r="10" spans="2:7" ht="15.6" x14ac:dyDescent="0.3">
      <c r="B10" s="823"/>
      <c r="C10" s="823"/>
      <c r="D10" s="823"/>
      <c r="E10" s="823" t="s">
        <v>693</v>
      </c>
      <c r="F10" s="823"/>
      <c r="G10" s="823"/>
    </row>
    <row r="11" spans="2:7" ht="15.6" x14ac:dyDescent="0.3">
      <c r="B11" s="823"/>
      <c r="C11" s="823"/>
      <c r="D11" s="823"/>
      <c r="E11" s="823" t="s">
        <v>694</v>
      </c>
      <c r="F11" s="823"/>
      <c r="G11" s="823"/>
    </row>
    <row r="12" spans="2:7" ht="15.6" x14ac:dyDescent="0.3">
      <c r="B12" s="823"/>
      <c r="C12" s="823"/>
      <c r="D12" s="823"/>
      <c r="E12" s="823"/>
      <c r="F12" s="823"/>
      <c r="G12" s="823"/>
    </row>
    <row r="13" spans="2:7" ht="15.6" x14ac:dyDescent="0.3">
      <c r="B13" s="823" t="s">
        <v>695</v>
      </c>
      <c r="C13" s="823"/>
      <c r="D13" s="823"/>
      <c r="E13" s="823" t="s">
        <v>696</v>
      </c>
      <c r="F13" s="823"/>
      <c r="G13" s="823"/>
    </row>
    <row r="14" spans="2:7" ht="15.6" x14ac:dyDescent="0.3">
      <c r="B14" s="823"/>
      <c r="C14" s="823"/>
      <c r="D14" s="823"/>
      <c r="E14" s="823" t="s">
        <v>697</v>
      </c>
      <c r="F14" s="823"/>
      <c r="G14" s="823"/>
    </row>
    <row r="15" spans="2:7" ht="15.6" x14ac:dyDescent="0.3">
      <c r="B15" s="823"/>
      <c r="C15" s="823"/>
      <c r="D15" s="823"/>
      <c r="E15" s="823" t="s">
        <v>698</v>
      </c>
      <c r="F15" s="823"/>
      <c r="G15" s="823"/>
    </row>
    <row r="16" spans="2:7" ht="15.6" x14ac:dyDescent="0.3">
      <c r="B16" s="823"/>
      <c r="C16" s="823"/>
      <c r="D16" s="823"/>
      <c r="E16" s="823" t="s">
        <v>699</v>
      </c>
      <c r="F16" s="823"/>
      <c r="G16" s="823"/>
    </row>
    <row r="17" spans="2:8" ht="15.6" x14ac:dyDescent="0.3">
      <c r="E17" s="823" t="s">
        <v>700</v>
      </c>
    </row>
    <row r="18" spans="2:8" ht="15.6" x14ac:dyDescent="0.3">
      <c r="B18" s="823"/>
      <c r="C18" s="823"/>
      <c r="D18" s="823"/>
      <c r="E18" s="823" t="s">
        <v>701</v>
      </c>
      <c r="F18" s="823"/>
      <c r="G18" s="823"/>
    </row>
    <row r="19" spans="2:8" ht="9.6" customHeight="1" x14ac:dyDescent="0.3">
      <c r="B19" s="822"/>
      <c r="C19" s="822"/>
      <c r="D19" s="822"/>
      <c r="E19" s="822"/>
      <c r="F19" s="822"/>
      <c r="G19" s="822"/>
    </row>
    <row r="20" spans="2:8" ht="17.399999999999999" x14ac:dyDescent="0.3">
      <c r="B20" s="824" t="s">
        <v>702</v>
      </c>
      <c r="E20" s="823" t="s">
        <v>703</v>
      </c>
    </row>
    <row r="21" spans="2:8" ht="15.6" x14ac:dyDescent="0.3">
      <c r="E21" s="823" t="s">
        <v>704</v>
      </c>
    </row>
    <row r="22" spans="2:8" ht="15.6" x14ac:dyDescent="0.3">
      <c r="E22" s="823" t="s">
        <v>705</v>
      </c>
      <c r="H22" s="822"/>
    </row>
    <row r="23" spans="2:8" ht="15.6" x14ac:dyDescent="0.3">
      <c r="F23" s="825" t="s">
        <v>706</v>
      </c>
    </row>
    <row r="24" spans="2:8" ht="15.6" x14ac:dyDescent="0.3">
      <c r="E24" s="823" t="s">
        <v>707</v>
      </c>
      <c r="F24" s="825"/>
    </row>
    <row r="25" spans="2:8" ht="15.6" x14ac:dyDescent="0.3">
      <c r="E25" s="823" t="s">
        <v>708</v>
      </c>
    </row>
    <row r="26" spans="2:8" ht="15.6" x14ac:dyDescent="0.3">
      <c r="F26" s="823" t="s">
        <v>709</v>
      </c>
    </row>
    <row r="27" spans="2:8" ht="15.6" x14ac:dyDescent="0.3">
      <c r="E27" s="823" t="s">
        <v>710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DC6E5-4906-4F81-839A-7BCB35E0F48D}">
  <sheetPr>
    <tabColor rgb="FFFFFF00"/>
  </sheetPr>
  <dimension ref="A2:P36"/>
  <sheetViews>
    <sheetView workbookViewId="0">
      <selection activeCell="N31" sqref="N31"/>
    </sheetView>
  </sheetViews>
  <sheetFormatPr defaultColWidth="9.109375" defaultRowHeight="13.2" x14ac:dyDescent="0.25"/>
  <cols>
    <col min="1" max="1" width="1" style="459" customWidth="1"/>
    <col min="2" max="2" width="14.44140625" style="459" customWidth="1"/>
    <col min="3" max="3" width="71.88671875" style="461" customWidth="1"/>
    <col min="4" max="4" width="5.44140625" style="461" hidden="1" customWidth="1"/>
    <col min="5" max="5" width="14.33203125" style="461" customWidth="1"/>
    <col min="6" max="6" width="2.6640625" style="461" hidden="1" customWidth="1"/>
    <col min="7" max="7" width="9.88671875" style="461" hidden="1" customWidth="1"/>
    <col min="8" max="8" width="2.88671875" style="461" hidden="1" customWidth="1"/>
    <col min="9" max="9" width="11.6640625" style="461" hidden="1" customWidth="1"/>
    <col min="10" max="10" width="2.6640625" style="461" hidden="1" customWidth="1"/>
    <col min="11" max="11" width="11.6640625" style="461" hidden="1" customWidth="1"/>
    <col min="12" max="12" width="2.6640625" style="461" hidden="1" customWidth="1"/>
    <col min="13" max="13" width="11.6640625" style="461" hidden="1" customWidth="1"/>
    <col min="14" max="14" width="2.6640625" style="461" hidden="1" customWidth="1"/>
    <col min="15" max="15" width="38" style="461" customWidth="1"/>
    <col min="16" max="256" width="9.109375" style="461"/>
    <col min="257" max="257" width="1" style="461" customWidth="1"/>
    <col min="258" max="258" width="14.44140625" style="461" customWidth="1"/>
    <col min="259" max="259" width="71.88671875" style="461" customWidth="1"/>
    <col min="260" max="260" width="0" style="461" hidden="1" customWidth="1"/>
    <col min="261" max="261" width="14.33203125" style="461" customWidth="1"/>
    <col min="262" max="270" width="0" style="461" hidden="1" customWidth="1"/>
    <col min="271" max="271" width="38" style="461" customWidth="1"/>
    <col min="272" max="512" width="9.109375" style="461"/>
    <col min="513" max="513" width="1" style="461" customWidth="1"/>
    <col min="514" max="514" width="14.44140625" style="461" customWidth="1"/>
    <col min="515" max="515" width="71.88671875" style="461" customWidth="1"/>
    <col min="516" max="516" width="0" style="461" hidden="1" customWidth="1"/>
    <col min="517" max="517" width="14.33203125" style="461" customWidth="1"/>
    <col min="518" max="526" width="0" style="461" hidden="1" customWidth="1"/>
    <col min="527" max="527" width="38" style="461" customWidth="1"/>
    <col min="528" max="768" width="9.109375" style="461"/>
    <col min="769" max="769" width="1" style="461" customWidth="1"/>
    <col min="770" max="770" width="14.44140625" style="461" customWidth="1"/>
    <col min="771" max="771" width="71.88671875" style="461" customWidth="1"/>
    <col min="772" max="772" width="0" style="461" hidden="1" customWidth="1"/>
    <col min="773" max="773" width="14.33203125" style="461" customWidth="1"/>
    <col min="774" max="782" width="0" style="461" hidden="1" customWidth="1"/>
    <col min="783" max="783" width="38" style="461" customWidth="1"/>
    <col min="784" max="1024" width="9.109375" style="461"/>
    <col min="1025" max="1025" width="1" style="461" customWidth="1"/>
    <col min="1026" max="1026" width="14.44140625" style="461" customWidth="1"/>
    <col min="1027" max="1027" width="71.88671875" style="461" customWidth="1"/>
    <col min="1028" max="1028" width="0" style="461" hidden="1" customWidth="1"/>
    <col min="1029" max="1029" width="14.33203125" style="461" customWidth="1"/>
    <col min="1030" max="1038" width="0" style="461" hidden="1" customWidth="1"/>
    <col min="1039" max="1039" width="38" style="461" customWidth="1"/>
    <col min="1040" max="1280" width="9.109375" style="461"/>
    <col min="1281" max="1281" width="1" style="461" customWidth="1"/>
    <col min="1282" max="1282" width="14.44140625" style="461" customWidth="1"/>
    <col min="1283" max="1283" width="71.88671875" style="461" customWidth="1"/>
    <col min="1284" max="1284" width="0" style="461" hidden="1" customWidth="1"/>
    <col min="1285" max="1285" width="14.33203125" style="461" customWidth="1"/>
    <col min="1286" max="1294" width="0" style="461" hidden="1" customWidth="1"/>
    <col min="1295" max="1295" width="38" style="461" customWidth="1"/>
    <col min="1296" max="1536" width="9.109375" style="461"/>
    <col min="1537" max="1537" width="1" style="461" customWidth="1"/>
    <col min="1538" max="1538" width="14.44140625" style="461" customWidth="1"/>
    <col min="1539" max="1539" width="71.88671875" style="461" customWidth="1"/>
    <col min="1540" max="1540" width="0" style="461" hidden="1" customWidth="1"/>
    <col min="1541" max="1541" width="14.33203125" style="461" customWidth="1"/>
    <col min="1542" max="1550" width="0" style="461" hidden="1" customWidth="1"/>
    <col min="1551" max="1551" width="38" style="461" customWidth="1"/>
    <col min="1552" max="1792" width="9.109375" style="461"/>
    <col min="1793" max="1793" width="1" style="461" customWidth="1"/>
    <col min="1794" max="1794" width="14.44140625" style="461" customWidth="1"/>
    <col min="1795" max="1795" width="71.88671875" style="461" customWidth="1"/>
    <col min="1796" max="1796" width="0" style="461" hidden="1" customWidth="1"/>
    <col min="1797" max="1797" width="14.33203125" style="461" customWidth="1"/>
    <col min="1798" max="1806" width="0" style="461" hidden="1" customWidth="1"/>
    <col min="1807" max="1807" width="38" style="461" customWidth="1"/>
    <col min="1808" max="2048" width="9.109375" style="461"/>
    <col min="2049" max="2049" width="1" style="461" customWidth="1"/>
    <col min="2050" max="2050" width="14.44140625" style="461" customWidth="1"/>
    <col min="2051" max="2051" width="71.88671875" style="461" customWidth="1"/>
    <col min="2052" max="2052" width="0" style="461" hidden="1" customWidth="1"/>
    <col min="2053" max="2053" width="14.33203125" style="461" customWidth="1"/>
    <col min="2054" max="2062" width="0" style="461" hidden="1" customWidth="1"/>
    <col min="2063" max="2063" width="38" style="461" customWidth="1"/>
    <col min="2064" max="2304" width="9.109375" style="461"/>
    <col min="2305" max="2305" width="1" style="461" customWidth="1"/>
    <col min="2306" max="2306" width="14.44140625" style="461" customWidth="1"/>
    <col min="2307" max="2307" width="71.88671875" style="461" customWidth="1"/>
    <col min="2308" max="2308" width="0" style="461" hidden="1" customWidth="1"/>
    <col min="2309" max="2309" width="14.33203125" style="461" customWidth="1"/>
    <col min="2310" max="2318" width="0" style="461" hidden="1" customWidth="1"/>
    <col min="2319" max="2319" width="38" style="461" customWidth="1"/>
    <col min="2320" max="2560" width="9.109375" style="461"/>
    <col min="2561" max="2561" width="1" style="461" customWidth="1"/>
    <col min="2562" max="2562" width="14.44140625" style="461" customWidth="1"/>
    <col min="2563" max="2563" width="71.88671875" style="461" customWidth="1"/>
    <col min="2564" max="2564" width="0" style="461" hidden="1" customWidth="1"/>
    <col min="2565" max="2565" width="14.33203125" style="461" customWidth="1"/>
    <col min="2566" max="2574" width="0" style="461" hidden="1" customWidth="1"/>
    <col min="2575" max="2575" width="38" style="461" customWidth="1"/>
    <col min="2576" max="2816" width="9.109375" style="461"/>
    <col min="2817" max="2817" width="1" style="461" customWidth="1"/>
    <col min="2818" max="2818" width="14.44140625" style="461" customWidth="1"/>
    <col min="2819" max="2819" width="71.88671875" style="461" customWidth="1"/>
    <col min="2820" max="2820" width="0" style="461" hidden="1" customWidth="1"/>
    <col min="2821" max="2821" width="14.33203125" style="461" customWidth="1"/>
    <col min="2822" max="2830" width="0" style="461" hidden="1" customWidth="1"/>
    <col min="2831" max="2831" width="38" style="461" customWidth="1"/>
    <col min="2832" max="3072" width="9.109375" style="461"/>
    <col min="3073" max="3073" width="1" style="461" customWidth="1"/>
    <col min="3074" max="3074" width="14.44140625" style="461" customWidth="1"/>
    <col min="3075" max="3075" width="71.88671875" style="461" customWidth="1"/>
    <col min="3076" max="3076" width="0" style="461" hidden="1" customWidth="1"/>
    <col min="3077" max="3077" width="14.33203125" style="461" customWidth="1"/>
    <col min="3078" max="3086" width="0" style="461" hidden="1" customWidth="1"/>
    <col min="3087" max="3087" width="38" style="461" customWidth="1"/>
    <col min="3088" max="3328" width="9.109375" style="461"/>
    <col min="3329" max="3329" width="1" style="461" customWidth="1"/>
    <col min="3330" max="3330" width="14.44140625" style="461" customWidth="1"/>
    <col min="3331" max="3331" width="71.88671875" style="461" customWidth="1"/>
    <col min="3332" max="3332" width="0" style="461" hidden="1" customWidth="1"/>
    <col min="3333" max="3333" width="14.33203125" style="461" customWidth="1"/>
    <col min="3334" max="3342" width="0" style="461" hidden="1" customWidth="1"/>
    <col min="3343" max="3343" width="38" style="461" customWidth="1"/>
    <col min="3344" max="3584" width="9.109375" style="461"/>
    <col min="3585" max="3585" width="1" style="461" customWidth="1"/>
    <col min="3586" max="3586" width="14.44140625" style="461" customWidth="1"/>
    <col min="3587" max="3587" width="71.88671875" style="461" customWidth="1"/>
    <col min="3588" max="3588" width="0" style="461" hidden="1" customWidth="1"/>
    <col min="3589" max="3589" width="14.33203125" style="461" customWidth="1"/>
    <col min="3590" max="3598" width="0" style="461" hidden="1" customWidth="1"/>
    <col min="3599" max="3599" width="38" style="461" customWidth="1"/>
    <col min="3600" max="3840" width="9.109375" style="461"/>
    <col min="3841" max="3841" width="1" style="461" customWidth="1"/>
    <col min="3842" max="3842" width="14.44140625" style="461" customWidth="1"/>
    <col min="3843" max="3843" width="71.88671875" style="461" customWidth="1"/>
    <col min="3844" max="3844" width="0" style="461" hidden="1" customWidth="1"/>
    <col min="3845" max="3845" width="14.33203125" style="461" customWidth="1"/>
    <col min="3846" max="3854" width="0" style="461" hidden="1" customWidth="1"/>
    <col min="3855" max="3855" width="38" style="461" customWidth="1"/>
    <col min="3856" max="4096" width="9.109375" style="461"/>
    <col min="4097" max="4097" width="1" style="461" customWidth="1"/>
    <col min="4098" max="4098" width="14.44140625" style="461" customWidth="1"/>
    <col min="4099" max="4099" width="71.88671875" style="461" customWidth="1"/>
    <col min="4100" max="4100" width="0" style="461" hidden="1" customWidth="1"/>
    <col min="4101" max="4101" width="14.33203125" style="461" customWidth="1"/>
    <col min="4102" max="4110" width="0" style="461" hidden="1" customWidth="1"/>
    <col min="4111" max="4111" width="38" style="461" customWidth="1"/>
    <col min="4112" max="4352" width="9.109375" style="461"/>
    <col min="4353" max="4353" width="1" style="461" customWidth="1"/>
    <col min="4354" max="4354" width="14.44140625" style="461" customWidth="1"/>
    <col min="4355" max="4355" width="71.88671875" style="461" customWidth="1"/>
    <col min="4356" max="4356" width="0" style="461" hidden="1" customWidth="1"/>
    <col min="4357" max="4357" width="14.33203125" style="461" customWidth="1"/>
    <col min="4358" max="4366" width="0" style="461" hidden="1" customWidth="1"/>
    <col min="4367" max="4367" width="38" style="461" customWidth="1"/>
    <col min="4368" max="4608" width="9.109375" style="461"/>
    <col min="4609" max="4609" width="1" style="461" customWidth="1"/>
    <col min="4610" max="4610" width="14.44140625" style="461" customWidth="1"/>
    <col min="4611" max="4611" width="71.88671875" style="461" customWidth="1"/>
    <col min="4612" max="4612" width="0" style="461" hidden="1" customWidth="1"/>
    <col min="4613" max="4613" width="14.33203125" style="461" customWidth="1"/>
    <col min="4614" max="4622" width="0" style="461" hidden="1" customWidth="1"/>
    <col min="4623" max="4623" width="38" style="461" customWidth="1"/>
    <col min="4624" max="4864" width="9.109375" style="461"/>
    <col min="4865" max="4865" width="1" style="461" customWidth="1"/>
    <col min="4866" max="4866" width="14.44140625" style="461" customWidth="1"/>
    <col min="4867" max="4867" width="71.88671875" style="461" customWidth="1"/>
    <col min="4868" max="4868" width="0" style="461" hidden="1" customWidth="1"/>
    <col min="4869" max="4869" width="14.33203125" style="461" customWidth="1"/>
    <col min="4870" max="4878" width="0" style="461" hidden="1" customWidth="1"/>
    <col min="4879" max="4879" width="38" style="461" customWidth="1"/>
    <col min="4880" max="5120" width="9.109375" style="461"/>
    <col min="5121" max="5121" width="1" style="461" customWidth="1"/>
    <col min="5122" max="5122" width="14.44140625" style="461" customWidth="1"/>
    <col min="5123" max="5123" width="71.88671875" style="461" customWidth="1"/>
    <col min="5124" max="5124" width="0" style="461" hidden="1" customWidth="1"/>
    <col min="5125" max="5125" width="14.33203125" style="461" customWidth="1"/>
    <col min="5126" max="5134" width="0" style="461" hidden="1" customWidth="1"/>
    <col min="5135" max="5135" width="38" style="461" customWidth="1"/>
    <col min="5136" max="5376" width="9.109375" style="461"/>
    <col min="5377" max="5377" width="1" style="461" customWidth="1"/>
    <col min="5378" max="5378" width="14.44140625" style="461" customWidth="1"/>
    <col min="5379" max="5379" width="71.88671875" style="461" customWidth="1"/>
    <col min="5380" max="5380" width="0" style="461" hidden="1" customWidth="1"/>
    <col min="5381" max="5381" width="14.33203125" style="461" customWidth="1"/>
    <col min="5382" max="5390" width="0" style="461" hidden="1" customWidth="1"/>
    <col min="5391" max="5391" width="38" style="461" customWidth="1"/>
    <col min="5392" max="5632" width="9.109375" style="461"/>
    <col min="5633" max="5633" width="1" style="461" customWidth="1"/>
    <col min="5634" max="5634" width="14.44140625" style="461" customWidth="1"/>
    <col min="5635" max="5635" width="71.88671875" style="461" customWidth="1"/>
    <col min="5636" max="5636" width="0" style="461" hidden="1" customWidth="1"/>
    <col min="5637" max="5637" width="14.33203125" style="461" customWidth="1"/>
    <col min="5638" max="5646" width="0" style="461" hidden="1" customWidth="1"/>
    <col min="5647" max="5647" width="38" style="461" customWidth="1"/>
    <col min="5648" max="5888" width="9.109375" style="461"/>
    <col min="5889" max="5889" width="1" style="461" customWidth="1"/>
    <col min="5890" max="5890" width="14.44140625" style="461" customWidth="1"/>
    <col min="5891" max="5891" width="71.88671875" style="461" customWidth="1"/>
    <col min="5892" max="5892" width="0" style="461" hidden="1" customWidth="1"/>
    <col min="5893" max="5893" width="14.33203125" style="461" customWidth="1"/>
    <col min="5894" max="5902" width="0" style="461" hidden="1" customWidth="1"/>
    <col min="5903" max="5903" width="38" style="461" customWidth="1"/>
    <col min="5904" max="6144" width="9.109375" style="461"/>
    <col min="6145" max="6145" width="1" style="461" customWidth="1"/>
    <col min="6146" max="6146" width="14.44140625" style="461" customWidth="1"/>
    <col min="6147" max="6147" width="71.88671875" style="461" customWidth="1"/>
    <col min="6148" max="6148" width="0" style="461" hidden="1" customWidth="1"/>
    <col min="6149" max="6149" width="14.33203125" style="461" customWidth="1"/>
    <col min="6150" max="6158" width="0" style="461" hidden="1" customWidth="1"/>
    <col min="6159" max="6159" width="38" style="461" customWidth="1"/>
    <col min="6160" max="6400" width="9.109375" style="461"/>
    <col min="6401" max="6401" width="1" style="461" customWidth="1"/>
    <col min="6402" max="6402" width="14.44140625" style="461" customWidth="1"/>
    <col min="6403" max="6403" width="71.88671875" style="461" customWidth="1"/>
    <col min="6404" max="6404" width="0" style="461" hidden="1" customWidth="1"/>
    <col min="6405" max="6405" width="14.33203125" style="461" customWidth="1"/>
    <col min="6406" max="6414" width="0" style="461" hidden="1" customWidth="1"/>
    <col min="6415" max="6415" width="38" style="461" customWidth="1"/>
    <col min="6416" max="6656" width="9.109375" style="461"/>
    <col min="6657" max="6657" width="1" style="461" customWidth="1"/>
    <col min="6658" max="6658" width="14.44140625" style="461" customWidth="1"/>
    <col min="6659" max="6659" width="71.88671875" style="461" customWidth="1"/>
    <col min="6660" max="6660" width="0" style="461" hidden="1" customWidth="1"/>
    <col min="6661" max="6661" width="14.33203125" style="461" customWidth="1"/>
    <col min="6662" max="6670" width="0" style="461" hidden="1" customWidth="1"/>
    <col min="6671" max="6671" width="38" style="461" customWidth="1"/>
    <col min="6672" max="6912" width="9.109375" style="461"/>
    <col min="6913" max="6913" width="1" style="461" customWidth="1"/>
    <col min="6914" max="6914" width="14.44140625" style="461" customWidth="1"/>
    <col min="6915" max="6915" width="71.88671875" style="461" customWidth="1"/>
    <col min="6916" max="6916" width="0" style="461" hidden="1" customWidth="1"/>
    <col min="6917" max="6917" width="14.33203125" style="461" customWidth="1"/>
    <col min="6918" max="6926" width="0" style="461" hidden="1" customWidth="1"/>
    <col min="6927" max="6927" width="38" style="461" customWidth="1"/>
    <col min="6928" max="7168" width="9.109375" style="461"/>
    <col min="7169" max="7169" width="1" style="461" customWidth="1"/>
    <col min="7170" max="7170" width="14.44140625" style="461" customWidth="1"/>
    <col min="7171" max="7171" width="71.88671875" style="461" customWidth="1"/>
    <col min="7172" max="7172" width="0" style="461" hidden="1" customWidth="1"/>
    <col min="7173" max="7173" width="14.33203125" style="461" customWidth="1"/>
    <col min="7174" max="7182" width="0" style="461" hidden="1" customWidth="1"/>
    <col min="7183" max="7183" width="38" style="461" customWidth="1"/>
    <col min="7184" max="7424" width="9.109375" style="461"/>
    <col min="7425" max="7425" width="1" style="461" customWidth="1"/>
    <col min="7426" max="7426" width="14.44140625" style="461" customWidth="1"/>
    <col min="7427" max="7427" width="71.88671875" style="461" customWidth="1"/>
    <col min="7428" max="7428" width="0" style="461" hidden="1" customWidth="1"/>
    <col min="7429" max="7429" width="14.33203125" style="461" customWidth="1"/>
    <col min="7430" max="7438" width="0" style="461" hidden="1" customWidth="1"/>
    <col min="7439" max="7439" width="38" style="461" customWidth="1"/>
    <col min="7440" max="7680" width="9.109375" style="461"/>
    <col min="7681" max="7681" width="1" style="461" customWidth="1"/>
    <col min="7682" max="7682" width="14.44140625" style="461" customWidth="1"/>
    <col min="7683" max="7683" width="71.88671875" style="461" customWidth="1"/>
    <col min="7684" max="7684" width="0" style="461" hidden="1" customWidth="1"/>
    <col min="7685" max="7685" width="14.33203125" style="461" customWidth="1"/>
    <col min="7686" max="7694" width="0" style="461" hidden="1" customWidth="1"/>
    <col min="7695" max="7695" width="38" style="461" customWidth="1"/>
    <col min="7696" max="7936" width="9.109375" style="461"/>
    <col min="7937" max="7937" width="1" style="461" customWidth="1"/>
    <col min="7938" max="7938" width="14.44140625" style="461" customWidth="1"/>
    <col min="7939" max="7939" width="71.88671875" style="461" customWidth="1"/>
    <col min="7940" max="7940" width="0" style="461" hidden="1" customWidth="1"/>
    <col min="7941" max="7941" width="14.33203125" style="461" customWidth="1"/>
    <col min="7942" max="7950" width="0" style="461" hidden="1" customWidth="1"/>
    <col min="7951" max="7951" width="38" style="461" customWidth="1"/>
    <col min="7952" max="8192" width="9.109375" style="461"/>
    <col min="8193" max="8193" width="1" style="461" customWidth="1"/>
    <col min="8194" max="8194" width="14.44140625" style="461" customWidth="1"/>
    <col min="8195" max="8195" width="71.88671875" style="461" customWidth="1"/>
    <col min="8196" max="8196" width="0" style="461" hidden="1" customWidth="1"/>
    <col min="8197" max="8197" width="14.33203125" style="461" customWidth="1"/>
    <col min="8198" max="8206" width="0" style="461" hidden="1" customWidth="1"/>
    <col min="8207" max="8207" width="38" style="461" customWidth="1"/>
    <col min="8208" max="8448" width="9.109375" style="461"/>
    <col min="8449" max="8449" width="1" style="461" customWidth="1"/>
    <col min="8450" max="8450" width="14.44140625" style="461" customWidth="1"/>
    <col min="8451" max="8451" width="71.88671875" style="461" customWidth="1"/>
    <col min="8452" max="8452" width="0" style="461" hidden="1" customWidth="1"/>
    <col min="8453" max="8453" width="14.33203125" style="461" customWidth="1"/>
    <col min="8454" max="8462" width="0" style="461" hidden="1" customWidth="1"/>
    <col min="8463" max="8463" width="38" style="461" customWidth="1"/>
    <col min="8464" max="8704" width="9.109375" style="461"/>
    <col min="8705" max="8705" width="1" style="461" customWidth="1"/>
    <col min="8706" max="8706" width="14.44140625" style="461" customWidth="1"/>
    <col min="8707" max="8707" width="71.88671875" style="461" customWidth="1"/>
    <col min="8708" max="8708" width="0" style="461" hidden="1" customWidth="1"/>
    <col min="8709" max="8709" width="14.33203125" style="461" customWidth="1"/>
    <col min="8710" max="8718" width="0" style="461" hidden="1" customWidth="1"/>
    <col min="8719" max="8719" width="38" style="461" customWidth="1"/>
    <col min="8720" max="8960" width="9.109375" style="461"/>
    <col min="8961" max="8961" width="1" style="461" customWidth="1"/>
    <col min="8962" max="8962" width="14.44140625" style="461" customWidth="1"/>
    <col min="8963" max="8963" width="71.88671875" style="461" customWidth="1"/>
    <col min="8964" max="8964" width="0" style="461" hidden="1" customWidth="1"/>
    <col min="8965" max="8965" width="14.33203125" style="461" customWidth="1"/>
    <col min="8966" max="8974" width="0" style="461" hidden="1" customWidth="1"/>
    <col min="8975" max="8975" width="38" style="461" customWidth="1"/>
    <col min="8976" max="9216" width="9.109375" style="461"/>
    <col min="9217" max="9217" width="1" style="461" customWidth="1"/>
    <col min="9218" max="9218" width="14.44140625" style="461" customWidth="1"/>
    <col min="9219" max="9219" width="71.88671875" style="461" customWidth="1"/>
    <col min="9220" max="9220" width="0" style="461" hidden="1" customWidth="1"/>
    <col min="9221" max="9221" width="14.33203125" style="461" customWidth="1"/>
    <col min="9222" max="9230" width="0" style="461" hidden="1" customWidth="1"/>
    <col min="9231" max="9231" width="38" style="461" customWidth="1"/>
    <col min="9232" max="9472" width="9.109375" style="461"/>
    <col min="9473" max="9473" width="1" style="461" customWidth="1"/>
    <col min="9474" max="9474" width="14.44140625" style="461" customWidth="1"/>
    <col min="9475" max="9475" width="71.88671875" style="461" customWidth="1"/>
    <col min="9476" max="9476" width="0" style="461" hidden="1" customWidth="1"/>
    <col min="9477" max="9477" width="14.33203125" style="461" customWidth="1"/>
    <col min="9478" max="9486" width="0" style="461" hidden="1" customWidth="1"/>
    <col min="9487" max="9487" width="38" style="461" customWidth="1"/>
    <col min="9488" max="9728" width="9.109375" style="461"/>
    <col min="9729" max="9729" width="1" style="461" customWidth="1"/>
    <col min="9730" max="9730" width="14.44140625" style="461" customWidth="1"/>
    <col min="9731" max="9731" width="71.88671875" style="461" customWidth="1"/>
    <col min="9732" max="9732" width="0" style="461" hidden="1" customWidth="1"/>
    <col min="9733" max="9733" width="14.33203125" style="461" customWidth="1"/>
    <col min="9734" max="9742" width="0" style="461" hidden="1" customWidth="1"/>
    <col min="9743" max="9743" width="38" style="461" customWidth="1"/>
    <col min="9744" max="9984" width="9.109375" style="461"/>
    <col min="9985" max="9985" width="1" style="461" customWidth="1"/>
    <col min="9986" max="9986" width="14.44140625" style="461" customWidth="1"/>
    <col min="9987" max="9987" width="71.88671875" style="461" customWidth="1"/>
    <col min="9988" max="9988" width="0" style="461" hidden="1" customWidth="1"/>
    <col min="9989" max="9989" width="14.33203125" style="461" customWidth="1"/>
    <col min="9990" max="9998" width="0" style="461" hidden="1" customWidth="1"/>
    <col min="9999" max="9999" width="38" style="461" customWidth="1"/>
    <col min="10000" max="10240" width="9.109375" style="461"/>
    <col min="10241" max="10241" width="1" style="461" customWidth="1"/>
    <col min="10242" max="10242" width="14.44140625" style="461" customWidth="1"/>
    <col min="10243" max="10243" width="71.88671875" style="461" customWidth="1"/>
    <col min="10244" max="10244" width="0" style="461" hidden="1" customWidth="1"/>
    <col min="10245" max="10245" width="14.33203125" style="461" customWidth="1"/>
    <col min="10246" max="10254" width="0" style="461" hidden="1" customWidth="1"/>
    <col min="10255" max="10255" width="38" style="461" customWidth="1"/>
    <col min="10256" max="10496" width="9.109375" style="461"/>
    <col min="10497" max="10497" width="1" style="461" customWidth="1"/>
    <col min="10498" max="10498" width="14.44140625" style="461" customWidth="1"/>
    <col min="10499" max="10499" width="71.88671875" style="461" customWidth="1"/>
    <col min="10500" max="10500" width="0" style="461" hidden="1" customWidth="1"/>
    <col min="10501" max="10501" width="14.33203125" style="461" customWidth="1"/>
    <col min="10502" max="10510" width="0" style="461" hidden="1" customWidth="1"/>
    <col min="10511" max="10511" width="38" style="461" customWidth="1"/>
    <col min="10512" max="10752" width="9.109375" style="461"/>
    <col min="10753" max="10753" width="1" style="461" customWidth="1"/>
    <col min="10754" max="10754" width="14.44140625" style="461" customWidth="1"/>
    <col min="10755" max="10755" width="71.88671875" style="461" customWidth="1"/>
    <col min="10756" max="10756" width="0" style="461" hidden="1" customWidth="1"/>
    <col min="10757" max="10757" width="14.33203125" style="461" customWidth="1"/>
    <col min="10758" max="10766" width="0" style="461" hidden="1" customWidth="1"/>
    <col min="10767" max="10767" width="38" style="461" customWidth="1"/>
    <col min="10768" max="11008" width="9.109375" style="461"/>
    <col min="11009" max="11009" width="1" style="461" customWidth="1"/>
    <col min="11010" max="11010" width="14.44140625" style="461" customWidth="1"/>
    <col min="11011" max="11011" width="71.88671875" style="461" customWidth="1"/>
    <col min="11012" max="11012" width="0" style="461" hidden="1" customWidth="1"/>
    <col min="11013" max="11013" width="14.33203125" style="461" customWidth="1"/>
    <col min="11014" max="11022" width="0" style="461" hidden="1" customWidth="1"/>
    <col min="11023" max="11023" width="38" style="461" customWidth="1"/>
    <col min="11024" max="11264" width="9.109375" style="461"/>
    <col min="11265" max="11265" width="1" style="461" customWidth="1"/>
    <col min="11266" max="11266" width="14.44140625" style="461" customWidth="1"/>
    <col min="11267" max="11267" width="71.88671875" style="461" customWidth="1"/>
    <col min="11268" max="11268" width="0" style="461" hidden="1" customWidth="1"/>
    <col min="11269" max="11269" width="14.33203125" style="461" customWidth="1"/>
    <col min="11270" max="11278" width="0" style="461" hidden="1" customWidth="1"/>
    <col min="11279" max="11279" width="38" style="461" customWidth="1"/>
    <col min="11280" max="11520" width="9.109375" style="461"/>
    <col min="11521" max="11521" width="1" style="461" customWidth="1"/>
    <col min="11522" max="11522" width="14.44140625" style="461" customWidth="1"/>
    <col min="11523" max="11523" width="71.88671875" style="461" customWidth="1"/>
    <col min="11524" max="11524" width="0" style="461" hidden="1" customWidth="1"/>
    <col min="11525" max="11525" width="14.33203125" style="461" customWidth="1"/>
    <col min="11526" max="11534" width="0" style="461" hidden="1" customWidth="1"/>
    <col min="11535" max="11535" width="38" style="461" customWidth="1"/>
    <col min="11536" max="11776" width="9.109375" style="461"/>
    <col min="11777" max="11777" width="1" style="461" customWidth="1"/>
    <col min="11778" max="11778" width="14.44140625" style="461" customWidth="1"/>
    <col min="11779" max="11779" width="71.88671875" style="461" customWidth="1"/>
    <col min="11780" max="11780" width="0" style="461" hidden="1" customWidth="1"/>
    <col min="11781" max="11781" width="14.33203125" style="461" customWidth="1"/>
    <col min="11782" max="11790" width="0" style="461" hidden="1" customWidth="1"/>
    <col min="11791" max="11791" width="38" style="461" customWidth="1"/>
    <col min="11792" max="12032" width="9.109375" style="461"/>
    <col min="12033" max="12033" width="1" style="461" customWidth="1"/>
    <col min="12034" max="12034" width="14.44140625" style="461" customWidth="1"/>
    <col min="12035" max="12035" width="71.88671875" style="461" customWidth="1"/>
    <col min="12036" max="12036" width="0" style="461" hidden="1" customWidth="1"/>
    <col min="12037" max="12037" width="14.33203125" style="461" customWidth="1"/>
    <col min="12038" max="12046" width="0" style="461" hidden="1" customWidth="1"/>
    <col min="12047" max="12047" width="38" style="461" customWidth="1"/>
    <col min="12048" max="12288" width="9.109375" style="461"/>
    <col min="12289" max="12289" width="1" style="461" customWidth="1"/>
    <col min="12290" max="12290" width="14.44140625" style="461" customWidth="1"/>
    <col min="12291" max="12291" width="71.88671875" style="461" customWidth="1"/>
    <col min="12292" max="12292" width="0" style="461" hidden="1" customWidth="1"/>
    <col min="12293" max="12293" width="14.33203125" style="461" customWidth="1"/>
    <col min="12294" max="12302" width="0" style="461" hidden="1" customWidth="1"/>
    <col min="12303" max="12303" width="38" style="461" customWidth="1"/>
    <col min="12304" max="12544" width="9.109375" style="461"/>
    <col min="12545" max="12545" width="1" style="461" customWidth="1"/>
    <col min="12546" max="12546" width="14.44140625" style="461" customWidth="1"/>
    <col min="12547" max="12547" width="71.88671875" style="461" customWidth="1"/>
    <col min="12548" max="12548" width="0" style="461" hidden="1" customWidth="1"/>
    <col min="12549" max="12549" width="14.33203125" style="461" customWidth="1"/>
    <col min="12550" max="12558" width="0" style="461" hidden="1" customWidth="1"/>
    <col min="12559" max="12559" width="38" style="461" customWidth="1"/>
    <col min="12560" max="12800" width="9.109375" style="461"/>
    <col min="12801" max="12801" width="1" style="461" customWidth="1"/>
    <col min="12802" max="12802" width="14.44140625" style="461" customWidth="1"/>
    <col min="12803" max="12803" width="71.88671875" style="461" customWidth="1"/>
    <col min="12804" max="12804" width="0" style="461" hidden="1" customWidth="1"/>
    <col min="12805" max="12805" width="14.33203125" style="461" customWidth="1"/>
    <col min="12806" max="12814" width="0" style="461" hidden="1" customWidth="1"/>
    <col min="12815" max="12815" width="38" style="461" customWidth="1"/>
    <col min="12816" max="13056" width="9.109375" style="461"/>
    <col min="13057" max="13057" width="1" style="461" customWidth="1"/>
    <col min="13058" max="13058" width="14.44140625" style="461" customWidth="1"/>
    <col min="13059" max="13059" width="71.88671875" style="461" customWidth="1"/>
    <col min="13060" max="13060" width="0" style="461" hidden="1" customWidth="1"/>
    <col min="13061" max="13061" width="14.33203125" style="461" customWidth="1"/>
    <col min="13062" max="13070" width="0" style="461" hidden="1" customWidth="1"/>
    <col min="13071" max="13071" width="38" style="461" customWidth="1"/>
    <col min="13072" max="13312" width="9.109375" style="461"/>
    <col min="13313" max="13313" width="1" style="461" customWidth="1"/>
    <col min="13314" max="13314" width="14.44140625" style="461" customWidth="1"/>
    <col min="13315" max="13315" width="71.88671875" style="461" customWidth="1"/>
    <col min="13316" max="13316" width="0" style="461" hidden="1" customWidth="1"/>
    <col min="13317" max="13317" width="14.33203125" style="461" customWidth="1"/>
    <col min="13318" max="13326" width="0" style="461" hidden="1" customWidth="1"/>
    <col min="13327" max="13327" width="38" style="461" customWidth="1"/>
    <col min="13328" max="13568" width="9.109375" style="461"/>
    <col min="13569" max="13569" width="1" style="461" customWidth="1"/>
    <col min="13570" max="13570" width="14.44140625" style="461" customWidth="1"/>
    <col min="13571" max="13571" width="71.88671875" style="461" customWidth="1"/>
    <col min="13572" max="13572" width="0" style="461" hidden="1" customWidth="1"/>
    <col min="13573" max="13573" width="14.33203125" style="461" customWidth="1"/>
    <col min="13574" max="13582" width="0" style="461" hidden="1" customWidth="1"/>
    <col min="13583" max="13583" width="38" style="461" customWidth="1"/>
    <col min="13584" max="13824" width="9.109375" style="461"/>
    <col min="13825" max="13825" width="1" style="461" customWidth="1"/>
    <col min="13826" max="13826" width="14.44140625" style="461" customWidth="1"/>
    <col min="13827" max="13827" width="71.88671875" style="461" customWidth="1"/>
    <col min="13828" max="13828" width="0" style="461" hidden="1" customWidth="1"/>
    <col min="13829" max="13829" width="14.33203125" style="461" customWidth="1"/>
    <col min="13830" max="13838" width="0" style="461" hidden="1" customWidth="1"/>
    <col min="13839" max="13839" width="38" style="461" customWidth="1"/>
    <col min="13840" max="14080" width="9.109375" style="461"/>
    <col min="14081" max="14081" width="1" style="461" customWidth="1"/>
    <col min="14082" max="14082" width="14.44140625" style="461" customWidth="1"/>
    <col min="14083" max="14083" width="71.88671875" style="461" customWidth="1"/>
    <col min="14084" max="14084" width="0" style="461" hidden="1" customWidth="1"/>
    <col min="14085" max="14085" width="14.33203125" style="461" customWidth="1"/>
    <col min="14086" max="14094" width="0" style="461" hidden="1" customWidth="1"/>
    <col min="14095" max="14095" width="38" style="461" customWidth="1"/>
    <col min="14096" max="14336" width="9.109375" style="461"/>
    <col min="14337" max="14337" width="1" style="461" customWidth="1"/>
    <col min="14338" max="14338" width="14.44140625" style="461" customWidth="1"/>
    <col min="14339" max="14339" width="71.88671875" style="461" customWidth="1"/>
    <col min="14340" max="14340" width="0" style="461" hidden="1" customWidth="1"/>
    <col min="14341" max="14341" width="14.33203125" style="461" customWidth="1"/>
    <col min="14342" max="14350" width="0" style="461" hidden="1" customWidth="1"/>
    <col min="14351" max="14351" width="38" style="461" customWidth="1"/>
    <col min="14352" max="14592" width="9.109375" style="461"/>
    <col min="14593" max="14593" width="1" style="461" customWidth="1"/>
    <col min="14594" max="14594" width="14.44140625" style="461" customWidth="1"/>
    <col min="14595" max="14595" width="71.88671875" style="461" customWidth="1"/>
    <col min="14596" max="14596" width="0" style="461" hidden="1" customWidth="1"/>
    <col min="14597" max="14597" width="14.33203125" style="461" customWidth="1"/>
    <col min="14598" max="14606" width="0" style="461" hidden="1" customWidth="1"/>
    <col min="14607" max="14607" width="38" style="461" customWidth="1"/>
    <col min="14608" max="14848" width="9.109375" style="461"/>
    <col min="14849" max="14849" width="1" style="461" customWidth="1"/>
    <col min="14850" max="14850" width="14.44140625" style="461" customWidth="1"/>
    <col min="14851" max="14851" width="71.88671875" style="461" customWidth="1"/>
    <col min="14852" max="14852" width="0" style="461" hidden="1" customWidth="1"/>
    <col min="14853" max="14853" width="14.33203125" style="461" customWidth="1"/>
    <col min="14854" max="14862" width="0" style="461" hidden="1" customWidth="1"/>
    <col min="14863" max="14863" width="38" style="461" customWidth="1"/>
    <col min="14864" max="15104" width="9.109375" style="461"/>
    <col min="15105" max="15105" width="1" style="461" customWidth="1"/>
    <col min="15106" max="15106" width="14.44140625" style="461" customWidth="1"/>
    <col min="15107" max="15107" width="71.88671875" style="461" customWidth="1"/>
    <col min="15108" max="15108" width="0" style="461" hidden="1" customWidth="1"/>
    <col min="15109" max="15109" width="14.33203125" style="461" customWidth="1"/>
    <col min="15110" max="15118" width="0" style="461" hidden="1" customWidth="1"/>
    <col min="15119" max="15119" width="38" style="461" customWidth="1"/>
    <col min="15120" max="15360" width="9.109375" style="461"/>
    <col min="15361" max="15361" width="1" style="461" customWidth="1"/>
    <col min="15362" max="15362" width="14.44140625" style="461" customWidth="1"/>
    <col min="15363" max="15363" width="71.88671875" style="461" customWidth="1"/>
    <col min="15364" max="15364" width="0" style="461" hidden="1" customWidth="1"/>
    <col min="15365" max="15365" width="14.33203125" style="461" customWidth="1"/>
    <col min="15366" max="15374" width="0" style="461" hidden="1" customWidth="1"/>
    <col min="15375" max="15375" width="38" style="461" customWidth="1"/>
    <col min="15376" max="15616" width="9.109375" style="461"/>
    <col min="15617" max="15617" width="1" style="461" customWidth="1"/>
    <col min="15618" max="15618" width="14.44140625" style="461" customWidth="1"/>
    <col min="15619" max="15619" width="71.88671875" style="461" customWidth="1"/>
    <col min="15620" max="15620" width="0" style="461" hidden="1" customWidth="1"/>
    <col min="15621" max="15621" width="14.33203125" style="461" customWidth="1"/>
    <col min="15622" max="15630" width="0" style="461" hidden="1" customWidth="1"/>
    <col min="15631" max="15631" width="38" style="461" customWidth="1"/>
    <col min="15632" max="15872" width="9.109375" style="461"/>
    <col min="15873" max="15873" width="1" style="461" customWidth="1"/>
    <col min="15874" max="15874" width="14.44140625" style="461" customWidth="1"/>
    <col min="15875" max="15875" width="71.88671875" style="461" customWidth="1"/>
    <col min="15876" max="15876" width="0" style="461" hidden="1" customWidth="1"/>
    <col min="15877" max="15877" width="14.33203125" style="461" customWidth="1"/>
    <col min="15878" max="15886" width="0" style="461" hidden="1" customWidth="1"/>
    <col min="15887" max="15887" width="38" style="461" customWidth="1"/>
    <col min="15888" max="16128" width="9.109375" style="461"/>
    <col min="16129" max="16129" width="1" style="461" customWidth="1"/>
    <col min="16130" max="16130" width="14.44140625" style="461" customWidth="1"/>
    <col min="16131" max="16131" width="71.88671875" style="461" customWidth="1"/>
    <col min="16132" max="16132" width="0" style="461" hidden="1" customWidth="1"/>
    <col min="16133" max="16133" width="14.33203125" style="461" customWidth="1"/>
    <col min="16134" max="16142" width="0" style="461" hidden="1" customWidth="1"/>
    <col min="16143" max="16143" width="38" style="461" customWidth="1"/>
    <col min="16144" max="16384" width="9.109375" style="461"/>
  </cols>
  <sheetData>
    <row r="2" spans="1:16" x14ac:dyDescent="0.25">
      <c r="C2" s="421" t="s">
        <v>113</v>
      </c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</row>
    <row r="3" spans="1:16" ht="3" customHeight="1" x14ac:dyDescent="0.25"/>
    <row r="4" spans="1:16" x14ac:dyDescent="0.25">
      <c r="C4" s="460" t="s">
        <v>515</v>
      </c>
      <c r="D4" s="460"/>
      <c r="E4" s="460"/>
      <c r="F4" s="460"/>
      <c r="G4" s="460"/>
      <c r="I4" s="460"/>
      <c r="K4" s="460"/>
      <c r="M4" s="460"/>
    </row>
    <row r="5" spans="1:16" x14ac:dyDescent="0.25">
      <c r="C5" s="460"/>
      <c r="D5" s="460"/>
      <c r="E5" s="460"/>
      <c r="F5" s="460"/>
      <c r="G5" s="460"/>
      <c r="I5" s="460"/>
      <c r="K5" s="460"/>
      <c r="M5" s="460"/>
    </row>
    <row r="6" spans="1:16" ht="15" customHeight="1" x14ac:dyDescent="0.25">
      <c r="B6" s="791" t="s">
        <v>114</v>
      </c>
      <c r="C6" s="791" t="s">
        <v>115</v>
      </c>
      <c r="D6" s="462"/>
      <c r="E6" s="463" t="s">
        <v>116</v>
      </c>
      <c r="F6" s="464"/>
      <c r="G6" s="463" t="s">
        <v>117</v>
      </c>
      <c r="I6" s="463" t="s">
        <v>118</v>
      </c>
      <c r="K6" s="463" t="s">
        <v>118</v>
      </c>
      <c r="M6" s="463" t="s">
        <v>119</v>
      </c>
      <c r="O6" s="463"/>
    </row>
    <row r="7" spans="1:16" ht="15" customHeight="1" thickBot="1" x14ac:dyDescent="0.3">
      <c r="B7" s="796"/>
      <c r="C7" s="796"/>
      <c r="D7" s="465"/>
      <c r="E7" s="678">
        <v>2025</v>
      </c>
      <c r="F7" s="467"/>
      <c r="G7" s="468" t="s">
        <v>607</v>
      </c>
      <c r="I7" s="469" t="s">
        <v>120</v>
      </c>
      <c r="K7" s="469" t="s">
        <v>121</v>
      </c>
      <c r="M7" s="469" t="s">
        <v>122</v>
      </c>
      <c r="O7" s="469" t="s">
        <v>123</v>
      </c>
    </row>
    <row r="8" spans="1:16" ht="19.95" customHeight="1" x14ac:dyDescent="0.25">
      <c r="B8" s="679" t="s">
        <v>516</v>
      </c>
      <c r="C8" s="423" t="s">
        <v>517</v>
      </c>
      <c r="D8" s="680"/>
      <c r="E8" s="539">
        <v>14000</v>
      </c>
      <c r="F8" s="470"/>
      <c r="G8" s="471">
        <v>0</v>
      </c>
      <c r="H8" s="472"/>
      <c r="I8" s="471">
        <f>+E8-G8</f>
        <v>14000</v>
      </c>
      <c r="J8" s="472"/>
      <c r="K8" s="471">
        <f>E8</f>
        <v>14000</v>
      </c>
      <c r="L8" s="472"/>
      <c r="M8" s="681">
        <f>E8-G8</f>
        <v>14000</v>
      </c>
      <c r="N8" s="472"/>
      <c r="O8" s="682"/>
      <c r="P8" s="472"/>
    </row>
    <row r="9" spans="1:16" ht="19.95" customHeight="1" x14ac:dyDescent="0.25">
      <c r="B9" s="425" t="s">
        <v>519</v>
      </c>
      <c r="C9" s="426" t="s">
        <v>382</v>
      </c>
      <c r="E9" s="542">
        <v>8000</v>
      </c>
      <c r="F9" s="470"/>
      <c r="G9" s="471">
        <v>0</v>
      </c>
      <c r="H9" s="472"/>
      <c r="I9" s="471">
        <f t="shared" ref="I9:I31" si="0">+E9-G9</f>
        <v>8000</v>
      </c>
      <c r="J9" s="472"/>
      <c r="K9" s="471">
        <f t="shared" ref="K9:K32" si="1">E9</f>
        <v>8000</v>
      </c>
      <c r="L9" s="472"/>
      <c r="M9" s="681">
        <f t="shared" ref="M9:M31" si="2">E9-G9</f>
        <v>8000</v>
      </c>
      <c r="N9" s="472"/>
      <c r="O9" s="682"/>
      <c r="P9" s="472"/>
    </row>
    <row r="10" spans="1:16" s="472" customFormat="1" ht="19.95" customHeight="1" x14ac:dyDescent="0.25">
      <c r="A10" s="474"/>
      <c r="B10" s="425" t="s">
        <v>521</v>
      </c>
      <c r="C10" s="541" t="s">
        <v>522</v>
      </c>
      <c r="E10" s="544">
        <v>6500</v>
      </c>
      <c r="G10" s="471">
        <v>0</v>
      </c>
      <c r="I10" s="471">
        <f>+E10-G10</f>
        <v>6500</v>
      </c>
      <c r="K10" s="471">
        <f>E10</f>
        <v>6500</v>
      </c>
      <c r="M10" s="681">
        <f>E10-G10</f>
        <v>6500</v>
      </c>
      <c r="O10" s="682"/>
    </row>
    <row r="11" spans="1:16" s="472" customFormat="1" ht="19.95" customHeight="1" x14ac:dyDescent="0.25">
      <c r="A11" s="474"/>
      <c r="B11" s="425" t="s">
        <v>523</v>
      </c>
      <c r="C11" s="541" t="s">
        <v>524</v>
      </c>
      <c r="E11" s="545">
        <v>12000</v>
      </c>
      <c r="G11" s="471"/>
      <c r="I11" s="471"/>
      <c r="K11" s="471">
        <f>E11</f>
        <v>12000</v>
      </c>
      <c r="M11" s="681">
        <f>E11-G11</f>
        <v>12000</v>
      </c>
      <c r="O11" s="682"/>
    </row>
    <row r="12" spans="1:16" s="472" customFormat="1" ht="19.95" customHeight="1" x14ac:dyDescent="0.25">
      <c r="A12" s="474"/>
      <c r="B12" s="425" t="s">
        <v>525</v>
      </c>
      <c r="C12" s="541" t="s">
        <v>526</v>
      </c>
      <c r="E12" s="545">
        <v>5000</v>
      </c>
      <c r="G12" s="471"/>
      <c r="I12" s="471"/>
      <c r="K12" s="471">
        <f>E12</f>
        <v>5000</v>
      </c>
      <c r="M12" s="681">
        <f>E12-G12</f>
        <v>5000</v>
      </c>
      <c r="O12" s="682"/>
    </row>
    <row r="13" spans="1:16" s="472" customFormat="1" ht="19.95" customHeight="1" x14ac:dyDescent="0.25">
      <c r="A13" s="474"/>
      <c r="B13" s="425" t="s">
        <v>527</v>
      </c>
      <c r="C13" s="435" t="s">
        <v>528</v>
      </c>
      <c r="E13" s="545">
        <f>7000+2700</f>
        <v>9700</v>
      </c>
      <c r="G13" s="471"/>
      <c r="I13" s="471"/>
      <c r="K13" s="471">
        <f>E13</f>
        <v>9700</v>
      </c>
      <c r="M13" s="681">
        <f>E13-G13</f>
        <v>9700</v>
      </c>
      <c r="O13" s="682"/>
    </row>
    <row r="14" spans="1:16" ht="19.95" customHeight="1" x14ac:dyDescent="0.25">
      <c r="B14" s="425" t="s">
        <v>529</v>
      </c>
      <c r="C14" s="426" t="s">
        <v>530</v>
      </c>
      <c r="E14" s="542">
        <v>15000</v>
      </c>
      <c r="F14" s="470"/>
      <c r="G14" s="471"/>
      <c r="H14" s="472"/>
      <c r="I14" s="471"/>
      <c r="J14" s="472"/>
      <c r="K14" s="471"/>
      <c r="L14" s="472"/>
      <c r="M14" s="681">
        <f t="shared" si="2"/>
        <v>15000</v>
      </c>
      <c r="N14" s="472"/>
      <c r="O14" s="682"/>
      <c r="P14" s="472"/>
    </row>
    <row r="15" spans="1:16" ht="19.95" customHeight="1" x14ac:dyDescent="0.25">
      <c r="B15" s="425" t="s">
        <v>531</v>
      </c>
      <c r="C15" s="541" t="s">
        <v>532</v>
      </c>
      <c r="E15" s="542">
        <v>7500</v>
      </c>
      <c r="F15" s="470"/>
      <c r="G15" s="471"/>
      <c r="H15" s="472"/>
      <c r="I15" s="471"/>
      <c r="J15" s="472"/>
      <c r="K15" s="471"/>
      <c r="L15" s="472"/>
      <c r="M15" s="681">
        <f t="shared" si="2"/>
        <v>7500</v>
      </c>
      <c r="N15" s="472"/>
      <c r="O15" s="682"/>
      <c r="P15" s="472"/>
    </row>
    <row r="16" spans="1:16" s="472" customFormat="1" ht="18" customHeight="1" x14ac:dyDescent="0.25">
      <c r="A16" s="474"/>
      <c r="B16" s="425" t="s">
        <v>533</v>
      </c>
      <c r="C16" s="426" t="s">
        <v>534</v>
      </c>
      <c r="D16" s="429"/>
      <c r="E16" s="544">
        <v>15000</v>
      </c>
      <c r="F16" s="475"/>
      <c r="G16" s="471"/>
      <c r="I16" s="471"/>
      <c r="K16" s="471"/>
      <c r="M16" s="681">
        <f>E16-G16</f>
        <v>15000</v>
      </c>
      <c r="O16" s="682"/>
    </row>
    <row r="17" spans="1:15" s="472" customFormat="1" ht="19.95" customHeight="1" x14ac:dyDescent="0.25">
      <c r="A17" s="474"/>
      <c r="B17" s="425" t="s">
        <v>535</v>
      </c>
      <c r="C17" s="426" t="s">
        <v>536</v>
      </c>
      <c r="E17" s="545">
        <v>8000</v>
      </c>
      <c r="G17" s="471"/>
      <c r="I17" s="471"/>
      <c r="K17" s="471">
        <f>E17</f>
        <v>8000</v>
      </c>
      <c r="M17" s="681">
        <f>E17-G17</f>
        <v>8000</v>
      </c>
      <c r="O17" s="682"/>
    </row>
    <row r="18" spans="1:15" s="472" customFormat="1" ht="19.95" customHeight="1" x14ac:dyDescent="0.25">
      <c r="A18" s="474"/>
      <c r="B18" s="425" t="s">
        <v>538</v>
      </c>
      <c r="C18" s="426" t="s">
        <v>386</v>
      </c>
      <c r="E18" s="548">
        <v>3500</v>
      </c>
      <c r="F18" s="475"/>
      <c r="G18" s="471">
        <v>0</v>
      </c>
      <c r="I18" s="471">
        <f t="shared" si="0"/>
        <v>3500</v>
      </c>
      <c r="K18" s="471">
        <f t="shared" si="1"/>
        <v>3500</v>
      </c>
      <c r="M18" s="681">
        <f t="shared" si="2"/>
        <v>3500</v>
      </c>
      <c r="O18" s="682"/>
    </row>
    <row r="19" spans="1:15" s="472" customFormat="1" ht="19.95" customHeight="1" x14ac:dyDescent="0.25">
      <c r="A19" s="474"/>
      <c r="B19" s="425" t="s">
        <v>539</v>
      </c>
      <c r="C19" s="426" t="s">
        <v>540</v>
      </c>
      <c r="E19" s="544">
        <v>16000</v>
      </c>
      <c r="F19" s="475"/>
      <c r="G19" s="471">
        <v>0</v>
      </c>
      <c r="I19" s="471">
        <f t="shared" si="0"/>
        <v>16000</v>
      </c>
      <c r="K19" s="471">
        <f t="shared" si="1"/>
        <v>16000</v>
      </c>
      <c r="M19" s="681">
        <f t="shared" si="2"/>
        <v>16000</v>
      </c>
      <c r="O19" s="682"/>
    </row>
    <row r="20" spans="1:15" s="472" customFormat="1" ht="19.95" customHeight="1" x14ac:dyDescent="0.25">
      <c r="A20" s="474"/>
      <c r="B20" s="425" t="s">
        <v>541</v>
      </c>
      <c r="C20" s="479" t="s">
        <v>542</v>
      </c>
      <c r="E20" s="550">
        <v>10000</v>
      </c>
      <c r="G20" s="471">
        <v>0</v>
      </c>
      <c r="I20" s="471">
        <f t="shared" si="0"/>
        <v>10000</v>
      </c>
      <c r="K20" s="471">
        <f t="shared" si="1"/>
        <v>10000</v>
      </c>
      <c r="M20" s="681">
        <f t="shared" si="2"/>
        <v>10000</v>
      </c>
      <c r="O20" s="682"/>
    </row>
    <row r="21" spans="1:15" s="472" customFormat="1" ht="19.95" customHeight="1" x14ac:dyDescent="0.25">
      <c r="A21" s="474"/>
      <c r="B21" s="425" t="s">
        <v>543</v>
      </c>
      <c r="C21" s="431" t="s">
        <v>544</v>
      </c>
      <c r="E21" s="544">
        <f>'[10]Capex Detail'!E26</f>
        <v>6066.6</v>
      </c>
      <c r="F21" s="480"/>
      <c r="G21" s="471">
        <v>0</v>
      </c>
      <c r="I21" s="471">
        <f t="shared" si="0"/>
        <v>6066.6</v>
      </c>
      <c r="K21" s="471">
        <f t="shared" si="1"/>
        <v>6066.6</v>
      </c>
      <c r="M21" s="681">
        <f t="shared" si="2"/>
        <v>6066.6</v>
      </c>
      <c r="O21" s="682"/>
    </row>
    <row r="22" spans="1:15" s="472" customFormat="1" ht="19.95" customHeight="1" x14ac:dyDescent="0.25">
      <c r="A22" s="474"/>
      <c r="B22" s="425" t="s">
        <v>546</v>
      </c>
      <c r="C22" s="433" t="s">
        <v>547</v>
      </c>
      <c r="E22" s="550">
        <v>29711</v>
      </c>
      <c r="G22" s="471">
        <v>0</v>
      </c>
      <c r="I22" s="471">
        <f t="shared" si="0"/>
        <v>29711</v>
      </c>
      <c r="K22" s="471">
        <f t="shared" si="1"/>
        <v>29711</v>
      </c>
      <c r="M22" s="681">
        <f t="shared" si="2"/>
        <v>29711</v>
      </c>
      <c r="O22" s="682"/>
    </row>
    <row r="23" spans="1:15" s="472" customFormat="1" ht="19.95" customHeight="1" x14ac:dyDescent="0.25">
      <c r="A23" s="474"/>
      <c r="B23" s="425" t="s">
        <v>549</v>
      </c>
      <c r="C23" s="433" t="s">
        <v>550</v>
      </c>
      <c r="E23" s="550">
        <v>12000</v>
      </c>
      <c r="G23" s="471"/>
      <c r="I23" s="471"/>
      <c r="K23" s="471"/>
      <c r="M23" s="681">
        <f t="shared" si="2"/>
        <v>12000</v>
      </c>
      <c r="O23" s="682"/>
    </row>
    <row r="24" spans="1:15" s="472" customFormat="1" ht="19.95" customHeight="1" x14ac:dyDescent="0.25">
      <c r="A24" s="474"/>
      <c r="B24" s="425" t="s">
        <v>552</v>
      </c>
      <c r="C24" s="434" t="s">
        <v>553</v>
      </c>
      <c r="E24" s="544">
        <v>15000</v>
      </c>
      <c r="G24" s="471">
        <v>0</v>
      </c>
      <c r="I24" s="471">
        <f t="shared" si="0"/>
        <v>15000</v>
      </c>
      <c r="K24" s="471">
        <f t="shared" si="1"/>
        <v>15000</v>
      </c>
      <c r="M24" s="681">
        <f t="shared" si="2"/>
        <v>15000</v>
      </c>
      <c r="O24" s="682"/>
    </row>
    <row r="25" spans="1:15" s="472" customFormat="1" ht="19.95" customHeight="1" x14ac:dyDescent="0.25">
      <c r="A25" s="474"/>
      <c r="B25" s="425" t="s">
        <v>554</v>
      </c>
      <c r="C25" s="434" t="s">
        <v>555</v>
      </c>
      <c r="E25" s="544">
        <v>6725</v>
      </c>
      <c r="G25" s="471">
        <v>0</v>
      </c>
      <c r="I25" s="471">
        <f t="shared" si="0"/>
        <v>6725</v>
      </c>
      <c r="K25" s="471">
        <f t="shared" si="1"/>
        <v>6725</v>
      </c>
      <c r="M25" s="681">
        <f t="shared" si="2"/>
        <v>6725</v>
      </c>
      <c r="O25" s="682"/>
    </row>
    <row r="26" spans="1:15" s="472" customFormat="1" ht="19.95" customHeight="1" x14ac:dyDescent="0.25">
      <c r="A26" s="474"/>
      <c r="B26" s="425" t="s">
        <v>556</v>
      </c>
      <c r="C26" s="426" t="s">
        <v>557</v>
      </c>
      <c r="E26" s="544">
        <v>13000</v>
      </c>
      <c r="G26" s="471">
        <v>0</v>
      </c>
      <c r="I26" s="471">
        <f t="shared" si="0"/>
        <v>13000</v>
      </c>
      <c r="K26" s="471">
        <f t="shared" si="1"/>
        <v>13000</v>
      </c>
      <c r="M26" s="681">
        <f t="shared" si="2"/>
        <v>13000</v>
      </c>
      <c r="O26" s="683"/>
    </row>
    <row r="27" spans="1:15" s="472" customFormat="1" ht="19.95" customHeight="1" x14ac:dyDescent="0.25">
      <c r="A27" s="474"/>
      <c r="B27" s="425" t="s">
        <v>558</v>
      </c>
      <c r="C27" s="426" t="s">
        <v>559</v>
      </c>
      <c r="E27" s="544">
        <v>10000</v>
      </c>
      <c r="G27" s="471">
        <v>0</v>
      </c>
      <c r="I27" s="471">
        <f t="shared" si="0"/>
        <v>10000</v>
      </c>
      <c r="K27" s="471">
        <f t="shared" si="1"/>
        <v>10000</v>
      </c>
      <c r="M27" s="681">
        <f t="shared" si="2"/>
        <v>10000</v>
      </c>
      <c r="O27" s="476"/>
    </row>
    <row r="28" spans="1:15" s="472" customFormat="1" ht="19.95" customHeight="1" x14ac:dyDescent="0.25">
      <c r="A28" s="474"/>
      <c r="B28" s="425" t="s">
        <v>560</v>
      </c>
      <c r="C28" s="541" t="s">
        <v>561</v>
      </c>
      <c r="E28" s="545">
        <v>5000</v>
      </c>
      <c r="G28" s="471"/>
      <c r="I28" s="471"/>
      <c r="K28" s="471">
        <f t="shared" si="1"/>
        <v>5000</v>
      </c>
      <c r="M28" s="681">
        <f t="shared" si="2"/>
        <v>5000</v>
      </c>
      <c r="O28" s="476"/>
    </row>
    <row r="29" spans="1:15" s="472" customFormat="1" ht="19.95" customHeight="1" x14ac:dyDescent="0.25">
      <c r="A29" s="474"/>
      <c r="B29" s="425" t="s">
        <v>562</v>
      </c>
      <c r="C29" s="541" t="s">
        <v>563</v>
      </c>
      <c r="E29" s="544">
        <f>7000*0.5</f>
        <v>3500</v>
      </c>
      <c r="G29" s="471"/>
      <c r="I29" s="471"/>
      <c r="K29" s="471"/>
      <c r="M29" s="681">
        <f>E29-G29</f>
        <v>3500</v>
      </c>
      <c r="O29" s="482"/>
    </row>
    <row r="30" spans="1:15" s="472" customFormat="1" ht="19.95" customHeight="1" x14ac:dyDescent="0.25">
      <c r="A30" s="474"/>
      <c r="B30" s="425" t="s">
        <v>564</v>
      </c>
      <c r="C30" s="546" t="s">
        <v>565</v>
      </c>
      <c r="E30" s="545">
        <v>7000</v>
      </c>
      <c r="G30" s="471"/>
      <c r="I30" s="471"/>
      <c r="K30" s="471">
        <f t="shared" si="1"/>
        <v>7000</v>
      </c>
      <c r="M30" s="681">
        <f t="shared" si="2"/>
        <v>7000</v>
      </c>
      <c r="O30" s="476"/>
    </row>
    <row r="31" spans="1:15" s="472" customFormat="1" ht="23.4" customHeight="1" thickBot="1" x14ac:dyDescent="0.3">
      <c r="A31" s="474"/>
      <c r="B31" s="425" t="s">
        <v>566</v>
      </c>
      <c r="C31" s="684" t="s">
        <v>94</v>
      </c>
      <c r="D31" s="685"/>
      <c r="E31" s="545">
        <v>12000</v>
      </c>
      <c r="G31" s="471">
        <v>0</v>
      </c>
      <c r="I31" s="471">
        <f t="shared" si="0"/>
        <v>12000</v>
      </c>
      <c r="K31" s="471">
        <f t="shared" si="1"/>
        <v>12000</v>
      </c>
      <c r="M31" s="681">
        <f t="shared" si="2"/>
        <v>12000</v>
      </c>
      <c r="O31" s="683"/>
    </row>
    <row r="32" spans="1:15" s="472" customFormat="1" ht="23.4" customHeight="1" thickBot="1" x14ac:dyDescent="0.3">
      <c r="A32" s="474"/>
      <c r="B32" s="686" t="s">
        <v>567</v>
      </c>
      <c r="C32" s="684" t="s">
        <v>568</v>
      </c>
      <c r="E32" s="555">
        <v>6500</v>
      </c>
      <c r="G32" s="471"/>
      <c r="I32" s="471"/>
      <c r="K32" s="471">
        <f t="shared" si="1"/>
        <v>6500</v>
      </c>
      <c r="M32" s="681"/>
      <c r="O32" s="687"/>
    </row>
    <row r="33" spans="1:15" s="487" customFormat="1" ht="19.8" customHeight="1" x14ac:dyDescent="0.25">
      <c r="A33" s="485"/>
      <c r="B33" s="483"/>
      <c r="C33" s="486" t="s">
        <v>570</v>
      </c>
      <c r="E33" s="488">
        <f>SUM(E8:E32)</f>
        <v>256702.6</v>
      </c>
      <c r="G33" s="488">
        <f>SUM(G8:G31)</f>
        <v>0</v>
      </c>
      <c r="I33" s="488">
        <f>SUM(I8:I31)</f>
        <v>150502.6</v>
      </c>
      <c r="K33" s="488">
        <f>SUM(K8:K32)</f>
        <v>203702.6</v>
      </c>
      <c r="M33" s="488">
        <f>SUM(M8:M31)</f>
        <v>250202.6</v>
      </c>
    </row>
    <row r="34" spans="1:15" ht="15" customHeight="1" x14ac:dyDescent="0.25">
      <c r="E34" s="489"/>
      <c r="F34" s="489"/>
      <c r="G34" s="489"/>
      <c r="I34" s="489"/>
      <c r="K34" s="489"/>
      <c r="M34" s="489"/>
    </row>
    <row r="35" spans="1:15" ht="15" customHeight="1" x14ac:dyDescent="0.3">
      <c r="E35" s="489"/>
      <c r="F35" s="489"/>
      <c r="G35" s="489"/>
      <c r="I35" s="490"/>
      <c r="K35" s="489"/>
      <c r="M35" s="489"/>
      <c r="O35" s="491" t="s">
        <v>571</v>
      </c>
    </row>
    <row r="36" spans="1:15" ht="17.100000000000001" customHeight="1" x14ac:dyDescent="0.3">
      <c r="E36" s="489"/>
      <c r="F36" s="489"/>
      <c r="G36" s="489"/>
      <c r="I36" s="489"/>
      <c r="K36" s="489"/>
      <c r="M36" s="489"/>
      <c r="O36" s="491"/>
    </row>
  </sheetData>
  <mergeCells count="2">
    <mergeCell ref="B6:B7"/>
    <mergeCell ref="C6:C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C059E-D628-43EA-8032-2A937E5897C2}">
  <sheetPr>
    <tabColor rgb="FFFFFF00"/>
  </sheetPr>
  <dimension ref="A2:Q20"/>
  <sheetViews>
    <sheetView workbookViewId="0">
      <selection activeCell="N31" sqref="N31"/>
    </sheetView>
  </sheetViews>
  <sheetFormatPr defaultColWidth="9.109375" defaultRowHeight="13.2" x14ac:dyDescent="0.25"/>
  <cols>
    <col min="1" max="1" width="1.6640625" style="459" customWidth="1"/>
    <col min="2" max="2" width="12.109375" style="459" customWidth="1"/>
    <col min="3" max="3" width="66.88671875" style="461" customWidth="1"/>
    <col min="4" max="4" width="3.6640625" style="461" customWidth="1"/>
    <col min="5" max="5" width="12.6640625" style="461" customWidth="1"/>
    <col min="6" max="6" width="2.44140625" style="461" hidden="1" customWidth="1"/>
    <col min="7" max="7" width="16.44140625" style="461" hidden="1" customWidth="1"/>
    <col min="8" max="8" width="2.6640625" style="461" customWidth="1"/>
    <col min="9" max="9" width="12.6640625" style="461" hidden="1" customWidth="1"/>
    <col min="10" max="10" width="2.6640625" style="493" hidden="1" customWidth="1"/>
    <col min="11" max="11" width="12.6640625" style="461" hidden="1" customWidth="1"/>
    <col min="12" max="12" width="2.6640625" style="493" hidden="1" customWidth="1"/>
    <col min="13" max="13" width="12.33203125" style="461" hidden="1" customWidth="1"/>
    <col min="14" max="14" width="2.6640625" style="493" hidden="1" customWidth="1"/>
    <col min="15" max="15" width="2.6640625" style="493" customWidth="1"/>
    <col min="16" max="16" width="70.44140625" style="461" customWidth="1"/>
    <col min="17" max="256" width="9.109375" style="461"/>
    <col min="257" max="257" width="1.6640625" style="461" customWidth="1"/>
    <col min="258" max="258" width="12.109375" style="461" customWidth="1"/>
    <col min="259" max="259" width="66.88671875" style="461" customWidth="1"/>
    <col min="260" max="260" width="3.6640625" style="461" customWidth="1"/>
    <col min="261" max="261" width="12.6640625" style="461" customWidth="1"/>
    <col min="262" max="263" width="0" style="461" hidden="1" customWidth="1"/>
    <col min="264" max="264" width="2.6640625" style="461" customWidth="1"/>
    <col min="265" max="270" width="0" style="461" hidden="1" customWidth="1"/>
    <col min="271" max="271" width="2.6640625" style="461" customWidth="1"/>
    <col min="272" max="272" width="70.44140625" style="461" customWidth="1"/>
    <col min="273" max="512" width="9.109375" style="461"/>
    <col min="513" max="513" width="1.6640625" style="461" customWidth="1"/>
    <col min="514" max="514" width="12.109375" style="461" customWidth="1"/>
    <col min="515" max="515" width="66.88671875" style="461" customWidth="1"/>
    <col min="516" max="516" width="3.6640625" style="461" customWidth="1"/>
    <col min="517" max="517" width="12.6640625" style="461" customWidth="1"/>
    <col min="518" max="519" width="0" style="461" hidden="1" customWidth="1"/>
    <col min="520" max="520" width="2.6640625" style="461" customWidth="1"/>
    <col min="521" max="526" width="0" style="461" hidden="1" customWidth="1"/>
    <col min="527" max="527" width="2.6640625" style="461" customWidth="1"/>
    <col min="528" max="528" width="70.44140625" style="461" customWidth="1"/>
    <col min="529" max="768" width="9.109375" style="461"/>
    <col min="769" max="769" width="1.6640625" style="461" customWidth="1"/>
    <col min="770" max="770" width="12.109375" style="461" customWidth="1"/>
    <col min="771" max="771" width="66.88671875" style="461" customWidth="1"/>
    <col min="772" max="772" width="3.6640625" style="461" customWidth="1"/>
    <col min="773" max="773" width="12.6640625" style="461" customWidth="1"/>
    <col min="774" max="775" width="0" style="461" hidden="1" customWidth="1"/>
    <col min="776" max="776" width="2.6640625" style="461" customWidth="1"/>
    <col min="777" max="782" width="0" style="461" hidden="1" customWidth="1"/>
    <col min="783" max="783" width="2.6640625" style="461" customWidth="1"/>
    <col min="784" max="784" width="70.44140625" style="461" customWidth="1"/>
    <col min="785" max="1024" width="9.109375" style="461"/>
    <col min="1025" max="1025" width="1.6640625" style="461" customWidth="1"/>
    <col min="1026" max="1026" width="12.109375" style="461" customWidth="1"/>
    <col min="1027" max="1027" width="66.88671875" style="461" customWidth="1"/>
    <col min="1028" max="1028" width="3.6640625" style="461" customWidth="1"/>
    <col min="1029" max="1029" width="12.6640625" style="461" customWidth="1"/>
    <col min="1030" max="1031" width="0" style="461" hidden="1" customWidth="1"/>
    <col min="1032" max="1032" width="2.6640625" style="461" customWidth="1"/>
    <col min="1033" max="1038" width="0" style="461" hidden="1" customWidth="1"/>
    <col min="1039" max="1039" width="2.6640625" style="461" customWidth="1"/>
    <col min="1040" max="1040" width="70.44140625" style="461" customWidth="1"/>
    <col min="1041" max="1280" width="9.109375" style="461"/>
    <col min="1281" max="1281" width="1.6640625" style="461" customWidth="1"/>
    <col min="1282" max="1282" width="12.109375" style="461" customWidth="1"/>
    <col min="1283" max="1283" width="66.88671875" style="461" customWidth="1"/>
    <col min="1284" max="1284" width="3.6640625" style="461" customWidth="1"/>
    <col min="1285" max="1285" width="12.6640625" style="461" customWidth="1"/>
    <col min="1286" max="1287" width="0" style="461" hidden="1" customWidth="1"/>
    <col min="1288" max="1288" width="2.6640625" style="461" customWidth="1"/>
    <col min="1289" max="1294" width="0" style="461" hidden="1" customWidth="1"/>
    <col min="1295" max="1295" width="2.6640625" style="461" customWidth="1"/>
    <col min="1296" max="1296" width="70.44140625" style="461" customWidth="1"/>
    <col min="1297" max="1536" width="9.109375" style="461"/>
    <col min="1537" max="1537" width="1.6640625" style="461" customWidth="1"/>
    <col min="1538" max="1538" width="12.109375" style="461" customWidth="1"/>
    <col min="1539" max="1539" width="66.88671875" style="461" customWidth="1"/>
    <col min="1540" max="1540" width="3.6640625" style="461" customWidth="1"/>
    <col min="1541" max="1541" width="12.6640625" style="461" customWidth="1"/>
    <col min="1542" max="1543" width="0" style="461" hidden="1" customWidth="1"/>
    <col min="1544" max="1544" width="2.6640625" style="461" customWidth="1"/>
    <col min="1545" max="1550" width="0" style="461" hidden="1" customWidth="1"/>
    <col min="1551" max="1551" width="2.6640625" style="461" customWidth="1"/>
    <col min="1552" max="1552" width="70.44140625" style="461" customWidth="1"/>
    <col min="1553" max="1792" width="9.109375" style="461"/>
    <col min="1793" max="1793" width="1.6640625" style="461" customWidth="1"/>
    <col min="1794" max="1794" width="12.109375" style="461" customWidth="1"/>
    <col min="1795" max="1795" width="66.88671875" style="461" customWidth="1"/>
    <col min="1796" max="1796" width="3.6640625" style="461" customWidth="1"/>
    <col min="1797" max="1797" width="12.6640625" style="461" customWidth="1"/>
    <col min="1798" max="1799" width="0" style="461" hidden="1" customWidth="1"/>
    <col min="1800" max="1800" width="2.6640625" style="461" customWidth="1"/>
    <col min="1801" max="1806" width="0" style="461" hidden="1" customWidth="1"/>
    <col min="1807" max="1807" width="2.6640625" style="461" customWidth="1"/>
    <col min="1808" max="1808" width="70.44140625" style="461" customWidth="1"/>
    <col min="1809" max="2048" width="9.109375" style="461"/>
    <col min="2049" max="2049" width="1.6640625" style="461" customWidth="1"/>
    <col min="2050" max="2050" width="12.109375" style="461" customWidth="1"/>
    <col min="2051" max="2051" width="66.88671875" style="461" customWidth="1"/>
    <col min="2052" max="2052" width="3.6640625" style="461" customWidth="1"/>
    <col min="2053" max="2053" width="12.6640625" style="461" customWidth="1"/>
    <col min="2054" max="2055" width="0" style="461" hidden="1" customWidth="1"/>
    <col min="2056" max="2056" width="2.6640625" style="461" customWidth="1"/>
    <col min="2057" max="2062" width="0" style="461" hidden="1" customWidth="1"/>
    <col min="2063" max="2063" width="2.6640625" style="461" customWidth="1"/>
    <col min="2064" max="2064" width="70.44140625" style="461" customWidth="1"/>
    <col min="2065" max="2304" width="9.109375" style="461"/>
    <col min="2305" max="2305" width="1.6640625" style="461" customWidth="1"/>
    <col min="2306" max="2306" width="12.109375" style="461" customWidth="1"/>
    <col min="2307" max="2307" width="66.88671875" style="461" customWidth="1"/>
    <col min="2308" max="2308" width="3.6640625" style="461" customWidth="1"/>
    <col min="2309" max="2309" width="12.6640625" style="461" customWidth="1"/>
    <col min="2310" max="2311" width="0" style="461" hidden="1" customWidth="1"/>
    <col min="2312" max="2312" width="2.6640625" style="461" customWidth="1"/>
    <col min="2313" max="2318" width="0" style="461" hidden="1" customWidth="1"/>
    <col min="2319" max="2319" width="2.6640625" style="461" customWidth="1"/>
    <col min="2320" max="2320" width="70.44140625" style="461" customWidth="1"/>
    <col min="2321" max="2560" width="9.109375" style="461"/>
    <col min="2561" max="2561" width="1.6640625" style="461" customWidth="1"/>
    <col min="2562" max="2562" width="12.109375" style="461" customWidth="1"/>
    <col min="2563" max="2563" width="66.88671875" style="461" customWidth="1"/>
    <col min="2564" max="2564" width="3.6640625" style="461" customWidth="1"/>
    <col min="2565" max="2565" width="12.6640625" style="461" customWidth="1"/>
    <col min="2566" max="2567" width="0" style="461" hidden="1" customWidth="1"/>
    <col min="2568" max="2568" width="2.6640625" style="461" customWidth="1"/>
    <col min="2569" max="2574" width="0" style="461" hidden="1" customWidth="1"/>
    <col min="2575" max="2575" width="2.6640625" style="461" customWidth="1"/>
    <col min="2576" max="2576" width="70.44140625" style="461" customWidth="1"/>
    <col min="2577" max="2816" width="9.109375" style="461"/>
    <col min="2817" max="2817" width="1.6640625" style="461" customWidth="1"/>
    <col min="2818" max="2818" width="12.109375" style="461" customWidth="1"/>
    <col min="2819" max="2819" width="66.88671875" style="461" customWidth="1"/>
    <col min="2820" max="2820" width="3.6640625" style="461" customWidth="1"/>
    <col min="2821" max="2821" width="12.6640625" style="461" customWidth="1"/>
    <col min="2822" max="2823" width="0" style="461" hidden="1" customWidth="1"/>
    <col min="2824" max="2824" width="2.6640625" style="461" customWidth="1"/>
    <col min="2825" max="2830" width="0" style="461" hidden="1" customWidth="1"/>
    <col min="2831" max="2831" width="2.6640625" style="461" customWidth="1"/>
    <col min="2832" max="2832" width="70.44140625" style="461" customWidth="1"/>
    <col min="2833" max="3072" width="9.109375" style="461"/>
    <col min="3073" max="3073" width="1.6640625" style="461" customWidth="1"/>
    <col min="3074" max="3074" width="12.109375" style="461" customWidth="1"/>
    <col min="3075" max="3075" width="66.88671875" style="461" customWidth="1"/>
    <col min="3076" max="3076" width="3.6640625" style="461" customWidth="1"/>
    <col min="3077" max="3077" width="12.6640625" style="461" customWidth="1"/>
    <col min="3078" max="3079" width="0" style="461" hidden="1" customWidth="1"/>
    <col min="3080" max="3080" width="2.6640625" style="461" customWidth="1"/>
    <col min="3081" max="3086" width="0" style="461" hidden="1" customWidth="1"/>
    <col min="3087" max="3087" width="2.6640625" style="461" customWidth="1"/>
    <col min="3088" max="3088" width="70.44140625" style="461" customWidth="1"/>
    <col min="3089" max="3328" width="9.109375" style="461"/>
    <col min="3329" max="3329" width="1.6640625" style="461" customWidth="1"/>
    <col min="3330" max="3330" width="12.109375" style="461" customWidth="1"/>
    <col min="3331" max="3331" width="66.88671875" style="461" customWidth="1"/>
    <col min="3332" max="3332" width="3.6640625" style="461" customWidth="1"/>
    <col min="3333" max="3333" width="12.6640625" style="461" customWidth="1"/>
    <col min="3334" max="3335" width="0" style="461" hidden="1" customWidth="1"/>
    <col min="3336" max="3336" width="2.6640625" style="461" customWidth="1"/>
    <col min="3337" max="3342" width="0" style="461" hidden="1" customWidth="1"/>
    <col min="3343" max="3343" width="2.6640625" style="461" customWidth="1"/>
    <col min="3344" max="3344" width="70.44140625" style="461" customWidth="1"/>
    <col min="3345" max="3584" width="9.109375" style="461"/>
    <col min="3585" max="3585" width="1.6640625" style="461" customWidth="1"/>
    <col min="3586" max="3586" width="12.109375" style="461" customWidth="1"/>
    <col min="3587" max="3587" width="66.88671875" style="461" customWidth="1"/>
    <col min="3588" max="3588" width="3.6640625" style="461" customWidth="1"/>
    <col min="3589" max="3589" width="12.6640625" style="461" customWidth="1"/>
    <col min="3590" max="3591" width="0" style="461" hidden="1" customWidth="1"/>
    <col min="3592" max="3592" width="2.6640625" style="461" customWidth="1"/>
    <col min="3593" max="3598" width="0" style="461" hidden="1" customWidth="1"/>
    <col min="3599" max="3599" width="2.6640625" style="461" customWidth="1"/>
    <col min="3600" max="3600" width="70.44140625" style="461" customWidth="1"/>
    <col min="3601" max="3840" width="9.109375" style="461"/>
    <col min="3841" max="3841" width="1.6640625" style="461" customWidth="1"/>
    <col min="3842" max="3842" width="12.109375" style="461" customWidth="1"/>
    <col min="3843" max="3843" width="66.88671875" style="461" customWidth="1"/>
    <col min="3844" max="3844" width="3.6640625" style="461" customWidth="1"/>
    <col min="3845" max="3845" width="12.6640625" style="461" customWidth="1"/>
    <col min="3846" max="3847" width="0" style="461" hidden="1" customWidth="1"/>
    <col min="3848" max="3848" width="2.6640625" style="461" customWidth="1"/>
    <col min="3849" max="3854" width="0" style="461" hidden="1" customWidth="1"/>
    <col min="3855" max="3855" width="2.6640625" style="461" customWidth="1"/>
    <col min="3856" max="3856" width="70.44140625" style="461" customWidth="1"/>
    <col min="3857" max="4096" width="9.109375" style="461"/>
    <col min="4097" max="4097" width="1.6640625" style="461" customWidth="1"/>
    <col min="4098" max="4098" width="12.109375" style="461" customWidth="1"/>
    <col min="4099" max="4099" width="66.88671875" style="461" customWidth="1"/>
    <col min="4100" max="4100" width="3.6640625" style="461" customWidth="1"/>
    <col min="4101" max="4101" width="12.6640625" style="461" customWidth="1"/>
    <col min="4102" max="4103" width="0" style="461" hidden="1" customWidth="1"/>
    <col min="4104" max="4104" width="2.6640625" style="461" customWidth="1"/>
    <col min="4105" max="4110" width="0" style="461" hidden="1" customWidth="1"/>
    <col min="4111" max="4111" width="2.6640625" style="461" customWidth="1"/>
    <col min="4112" max="4112" width="70.44140625" style="461" customWidth="1"/>
    <col min="4113" max="4352" width="9.109375" style="461"/>
    <col min="4353" max="4353" width="1.6640625" style="461" customWidth="1"/>
    <col min="4354" max="4354" width="12.109375" style="461" customWidth="1"/>
    <col min="4355" max="4355" width="66.88671875" style="461" customWidth="1"/>
    <col min="4356" max="4356" width="3.6640625" style="461" customWidth="1"/>
    <col min="4357" max="4357" width="12.6640625" style="461" customWidth="1"/>
    <col min="4358" max="4359" width="0" style="461" hidden="1" customWidth="1"/>
    <col min="4360" max="4360" width="2.6640625" style="461" customWidth="1"/>
    <col min="4361" max="4366" width="0" style="461" hidden="1" customWidth="1"/>
    <col min="4367" max="4367" width="2.6640625" style="461" customWidth="1"/>
    <col min="4368" max="4368" width="70.44140625" style="461" customWidth="1"/>
    <col min="4369" max="4608" width="9.109375" style="461"/>
    <col min="4609" max="4609" width="1.6640625" style="461" customWidth="1"/>
    <col min="4610" max="4610" width="12.109375" style="461" customWidth="1"/>
    <col min="4611" max="4611" width="66.88671875" style="461" customWidth="1"/>
    <col min="4612" max="4612" width="3.6640625" style="461" customWidth="1"/>
    <col min="4613" max="4613" width="12.6640625" style="461" customWidth="1"/>
    <col min="4614" max="4615" width="0" style="461" hidden="1" customWidth="1"/>
    <col min="4616" max="4616" width="2.6640625" style="461" customWidth="1"/>
    <col min="4617" max="4622" width="0" style="461" hidden="1" customWidth="1"/>
    <col min="4623" max="4623" width="2.6640625" style="461" customWidth="1"/>
    <col min="4624" max="4624" width="70.44140625" style="461" customWidth="1"/>
    <col min="4625" max="4864" width="9.109375" style="461"/>
    <col min="4865" max="4865" width="1.6640625" style="461" customWidth="1"/>
    <col min="4866" max="4866" width="12.109375" style="461" customWidth="1"/>
    <col min="4867" max="4867" width="66.88671875" style="461" customWidth="1"/>
    <col min="4868" max="4868" width="3.6640625" style="461" customWidth="1"/>
    <col min="4869" max="4869" width="12.6640625" style="461" customWidth="1"/>
    <col min="4870" max="4871" width="0" style="461" hidden="1" customWidth="1"/>
    <col min="4872" max="4872" width="2.6640625" style="461" customWidth="1"/>
    <col min="4873" max="4878" width="0" style="461" hidden="1" customWidth="1"/>
    <col min="4879" max="4879" width="2.6640625" style="461" customWidth="1"/>
    <col min="4880" max="4880" width="70.44140625" style="461" customWidth="1"/>
    <col min="4881" max="5120" width="9.109375" style="461"/>
    <col min="5121" max="5121" width="1.6640625" style="461" customWidth="1"/>
    <col min="5122" max="5122" width="12.109375" style="461" customWidth="1"/>
    <col min="5123" max="5123" width="66.88671875" style="461" customWidth="1"/>
    <col min="5124" max="5124" width="3.6640625" style="461" customWidth="1"/>
    <col min="5125" max="5125" width="12.6640625" style="461" customWidth="1"/>
    <col min="5126" max="5127" width="0" style="461" hidden="1" customWidth="1"/>
    <col min="5128" max="5128" width="2.6640625" style="461" customWidth="1"/>
    <col min="5129" max="5134" width="0" style="461" hidden="1" customWidth="1"/>
    <col min="5135" max="5135" width="2.6640625" style="461" customWidth="1"/>
    <col min="5136" max="5136" width="70.44140625" style="461" customWidth="1"/>
    <col min="5137" max="5376" width="9.109375" style="461"/>
    <col min="5377" max="5377" width="1.6640625" style="461" customWidth="1"/>
    <col min="5378" max="5378" width="12.109375" style="461" customWidth="1"/>
    <col min="5379" max="5379" width="66.88671875" style="461" customWidth="1"/>
    <col min="5380" max="5380" width="3.6640625" style="461" customWidth="1"/>
    <col min="5381" max="5381" width="12.6640625" style="461" customWidth="1"/>
    <col min="5382" max="5383" width="0" style="461" hidden="1" customWidth="1"/>
    <col min="5384" max="5384" width="2.6640625" style="461" customWidth="1"/>
    <col min="5385" max="5390" width="0" style="461" hidden="1" customWidth="1"/>
    <col min="5391" max="5391" width="2.6640625" style="461" customWidth="1"/>
    <col min="5392" max="5392" width="70.44140625" style="461" customWidth="1"/>
    <col min="5393" max="5632" width="9.109375" style="461"/>
    <col min="5633" max="5633" width="1.6640625" style="461" customWidth="1"/>
    <col min="5634" max="5634" width="12.109375" style="461" customWidth="1"/>
    <col min="5635" max="5635" width="66.88671875" style="461" customWidth="1"/>
    <col min="5636" max="5636" width="3.6640625" style="461" customWidth="1"/>
    <col min="5637" max="5637" width="12.6640625" style="461" customWidth="1"/>
    <col min="5638" max="5639" width="0" style="461" hidden="1" customWidth="1"/>
    <col min="5640" max="5640" width="2.6640625" style="461" customWidth="1"/>
    <col min="5641" max="5646" width="0" style="461" hidden="1" customWidth="1"/>
    <col min="5647" max="5647" width="2.6640625" style="461" customWidth="1"/>
    <col min="5648" max="5648" width="70.44140625" style="461" customWidth="1"/>
    <col min="5649" max="5888" width="9.109375" style="461"/>
    <col min="5889" max="5889" width="1.6640625" style="461" customWidth="1"/>
    <col min="5890" max="5890" width="12.109375" style="461" customWidth="1"/>
    <col min="5891" max="5891" width="66.88671875" style="461" customWidth="1"/>
    <col min="5892" max="5892" width="3.6640625" style="461" customWidth="1"/>
    <col min="5893" max="5893" width="12.6640625" style="461" customWidth="1"/>
    <col min="5894" max="5895" width="0" style="461" hidden="1" customWidth="1"/>
    <col min="5896" max="5896" width="2.6640625" style="461" customWidth="1"/>
    <col min="5897" max="5902" width="0" style="461" hidden="1" customWidth="1"/>
    <col min="5903" max="5903" width="2.6640625" style="461" customWidth="1"/>
    <col min="5904" max="5904" width="70.44140625" style="461" customWidth="1"/>
    <col min="5905" max="6144" width="9.109375" style="461"/>
    <col min="6145" max="6145" width="1.6640625" style="461" customWidth="1"/>
    <col min="6146" max="6146" width="12.109375" style="461" customWidth="1"/>
    <col min="6147" max="6147" width="66.88671875" style="461" customWidth="1"/>
    <col min="6148" max="6148" width="3.6640625" style="461" customWidth="1"/>
    <col min="6149" max="6149" width="12.6640625" style="461" customWidth="1"/>
    <col min="6150" max="6151" width="0" style="461" hidden="1" customWidth="1"/>
    <col min="6152" max="6152" width="2.6640625" style="461" customWidth="1"/>
    <col min="6153" max="6158" width="0" style="461" hidden="1" customWidth="1"/>
    <col min="6159" max="6159" width="2.6640625" style="461" customWidth="1"/>
    <col min="6160" max="6160" width="70.44140625" style="461" customWidth="1"/>
    <col min="6161" max="6400" width="9.109375" style="461"/>
    <col min="6401" max="6401" width="1.6640625" style="461" customWidth="1"/>
    <col min="6402" max="6402" width="12.109375" style="461" customWidth="1"/>
    <col min="6403" max="6403" width="66.88671875" style="461" customWidth="1"/>
    <col min="6404" max="6404" width="3.6640625" style="461" customWidth="1"/>
    <col min="6405" max="6405" width="12.6640625" style="461" customWidth="1"/>
    <col min="6406" max="6407" width="0" style="461" hidden="1" customWidth="1"/>
    <col min="6408" max="6408" width="2.6640625" style="461" customWidth="1"/>
    <col min="6409" max="6414" width="0" style="461" hidden="1" customWidth="1"/>
    <col min="6415" max="6415" width="2.6640625" style="461" customWidth="1"/>
    <col min="6416" max="6416" width="70.44140625" style="461" customWidth="1"/>
    <col min="6417" max="6656" width="9.109375" style="461"/>
    <col min="6657" max="6657" width="1.6640625" style="461" customWidth="1"/>
    <col min="6658" max="6658" width="12.109375" style="461" customWidth="1"/>
    <col min="6659" max="6659" width="66.88671875" style="461" customWidth="1"/>
    <col min="6660" max="6660" width="3.6640625" style="461" customWidth="1"/>
    <col min="6661" max="6661" width="12.6640625" style="461" customWidth="1"/>
    <col min="6662" max="6663" width="0" style="461" hidden="1" customWidth="1"/>
    <col min="6664" max="6664" width="2.6640625" style="461" customWidth="1"/>
    <col min="6665" max="6670" width="0" style="461" hidden="1" customWidth="1"/>
    <col min="6671" max="6671" width="2.6640625" style="461" customWidth="1"/>
    <col min="6672" max="6672" width="70.44140625" style="461" customWidth="1"/>
    <col min="6673" max="6912" width="9.109375" style="461"/>
    <col min="6913" max="6913" width="1.6640625" style="461" customWidth="1"/>
    <col min="6914" max="6914" width="12.109375" style="461" customWidth="1"/>
    <col min="6915" max="6915" width="66.88671875" style="461" customWidth="1"/>
    <col min="6916" max="6916" width="3.6640625" style="461" customWidth="1"/>
    <col min="6917" max="6917" width="12.6640625" style="461" customWidth="1"/>
    <col min="6918" max="6919" width="0" style="461" hidden="1" customWidth="1"/>
    <col min="6920" max="6920" width="2.6640625" style="461" customWidth="1"/>
    <col min="6921" max="6926" width="0" style="461" hidden="1" customWidth="1"/>
    <col min="6927" max="6927" width="2.6640625" style="461" customWidth="1"/>
    <col min="6928" max="6928" width="70.44140625" style="461" customWidth="1"/>
    <col min="6929" max="7168" width="9.109375" style="461"/>
    <col min="7169" max="7169" width="1.6640625" style="461" customWidth="1"/>
    <col min="7170" max="7170" width="12.109375" style="461" customWidth="1"/>
    <col min="7171" max="7171" width="66.88671875" style="461" customWidth="1"/>
    <col min="7172" max="7172" width="3.6640625" style="461" customWidth="1"/>
    <col min="7173" max="7173" width="12.6640625" style="461" customWidth="1"/>
    <col min="7174" max="7175" width="0" style="461" hidden="1" customWidth="1"/>
    <col min="7176" max="7176" width="2.6640625" style="461" customWidth="1"/>
    <col min="7177" max="7182" width="0" style="461" hidden="1" customWidth="1"/>
    <col min="7183" max="7183" width="2.6640625" style="461" customWidth="1"/>
    <col min="7184" max="7184" width="70.44140625" style="461" customWidth="1"/>
    <col min="7185" max="7424" width="9.109375" style="461"/>
    <col min="7425" max="7425" width="1.6640625" style="461" customWidth="1"/>
    <col min="7426" max="7426" width="12.109375" style="461" customWidth="1"/>
    <col min="7427" max="7427" width="66.88671875" style="461" customWidth="1"/>
    <col min="7428" max="7428" width="3.6640625" style="461" customWidth="1"/>
    <col min="7429" max="7429" width="12.6640625" style="461" customWidth="1"/>
    <col min="7430" max="7431" width="0" style="461" hidden="1" customWidth="1"/>
    <col min="7432" max="7432" width="2.6640625" style="461" customWidth="1"/>
    <col min="7433" max="7438" width="0" style="461" hidden="1" customWidth="1"/>
    <col min="7439" max="7439" width="2.6640625" style="461" customWidth="1"/>
    <col min="7440" max="7440" width="70.44140625" style="461" customWidth="1"/>
    <col min="7441" max="7680" width="9.109375" style="461"/>
    <col min="7681" max="7681" width="1.6640625" style="461" customWidth="1"/>
    <col min="7682" max="7682" width="12.109375" style="461" customWidth="1"/>
    <col min="7683" max="7683" width="66.88671875" style="461" customWidth="1"/>
    <col min="7684" max="7684" width="3.6640625" style="461" customWidth="1"/>
    <col min="7685" max="7685" width="12.6640625" style="461" customWidth="1"/>
    <col min="7686" max="7687" width="0" style="461" hidden="1" customWidth="1"/>
    <col min="7688" max="7688" width="2.6640625" style="461" customWidth="1"/>
    <col min="7689" max="7694" width="0" style="461" hidden="1" customWidth="1"/>
    <col min="7695" max="7695" width="2.6640625" style="461" customWidth="1"/>
    <col min="7696" max="7696" width="70.44140625" style="461" customWidth="1"/>
    <col min="7697" max="7936" width="9.109375" style="461"/>
    <col min="7937" max="7937" width="1.6640625" style="461" customWidth="1"/>
    <col min="7938" max="7938" width="12.109375" style="461" customWidth="1"/>
    <col min="7939" max="7939" width="66.88671875" style="461" customWidth="1"/>
    <col min="7940" max="7940" width="3.6640625" style="461" customWidth="1"/>
    <col min="7941" max="7941" width="12.6640625" style="461" customWidth="1"/>
    <col min="7942" max="7943" width="0" style="461" hidden="1" customWidth="1"/>
    <col min="7944" max="7944" width="2.6640625" style="461" customWidth="1"/>
    <col min="7945" max="7950" width="0" style="461" hidden="1" customWidth="1"/>
    <col min="7951" max="7951" width="2.6640625" style="461" customWidth="1"/>
    <col min="7952" max="7952" width="70.44140625" style="461" customWidth="1"/>
    <col min="7953" max="8192" width="9.109375" style="461"/>
    <col min="8193" max="8193" width="1.6640625" style="461" customWidth="1"/>
    <col min="8194" max="8194" width="12.109375" style="461" customWidth="1"/>
    <col min="8195" max="8195" width="66.88671875" style="461" customWidth="1"/>
    <col min="8196" max="8196" width="3.6640625" style="461" customWidth="1"/>
    <col min="8197" max="8197" width="12.6640625" style="461" customWidth="1"/>
    <col min="8198" max="8199" width="0" style="461" hidden="1" customWidth="1"/>
    <col min="8200" max="8200" width="2.6640625" style="461" customWidth="1"/>
    <col min="8201" max="8206" width="0" style="461" hidden="1" customWidth="1"/>
    <col min="8207" max="8207" width="2.6640625" style="461" customWidth="1"/>
    <col min="8208" max="8208" width="70.44140625" style="461" customWidth="1"/>
    <col min="8209" max="8448" width="9.109375" style="461"/>
    <col min="8449" max="8449" width="1.6640625" style="461" customWidth="1"/>
    <col min="8450" max="8450" width="12.109375" style="461" customWidth="1"/>
    <col min="8451" max="8451" width="66.88671875" style="461" customWidth="1"/>
    <col min="8452" max="8452" width="3.6640625" style="461" customWidth="1"/>
    <col min="8453" max="8453" width="12.6640625" style="461" customWidth="1"/>
    <col min="8454" max="8455" width="0" style="461" hidden="1" customWidth="1"/>
    <col min="8456" max="8456" width="2.6640625" style="461" customWidth="1"/>
    <col min="8457" max="8462" width="0" style="461" hidden="1" customWidth="1"/>
    <col min="8463" max="8463" width="2.6640625" style="461" customWidth="1"/>
    <col min="8464" max="8464" width="70.44140625" style="461" customWidth="1"/>
    <col min="8465" max="8704" width="9.109375" style="461"/>
    <col min="8705" max="8705" width="1.6640625" style="461" customWidth="1"/>
    <col min="8706" max="8706" width="12.109375" style="461" customWidth="1"/>
    <col min="8707" max="8707" width="66.88671875" style="461" customWidth="1"/>
    <col min="8708" max="8708" width="3.6640625" style="461" customWidth="1"/>
    <col min="8709" max="8709" width="12.6640625" style="461" customWidth="1"/>
    <col min="8710" max="8711" width="0" style="461" hidden="1" customWidth="1"/>
    <col min="8712" max="8712" width="2.6640625" style="461" customWidth="1"/>
    <col min="8713" max="8718" width="0" style="461" hidden="1" customWidth="1"/>
    <col min="8719" max="8719" width="2.6640625" style="461" customWidth="1"/>
    <col min="8720" max="8720" width="70.44140625" style="461" customWidth="1"/>
    <col min="8721" max="8960" width="9.109375" style="461"/>
    <col min="8961" max="8961" width="1.6640625" style="461" customWidth="1"/>
    <col min="8962" max="8962" width="12.109375" style="461" customWidth="1"/>
    <col min="8963" max="8963" width="66.88671875" style="461" customWidth="1"/>
    <col min="8964" max="8964" width="3.6640625" style="461" customWidth="1"/>
    <col min="8965" max="8965" width="12.6640625" style="461" customWidth="1"/>
    <col min="8966" max="8967" width="0" style="461" hidden="1" customWidth="1"/>
    <col min="8968" max="8968" width="2.6640625" style="461" customWidth="1"/>
    <col min="8969" max="8974" width="0" style="461" hidden="1" customWidth="1"/>
    <col min="8975" max="8975" width="2.6640625" style="461" customWidth="1"/>
    <col min="8976" max="8976" width="70.44140625" style="461" customWidth="1"/>
    <col min="8977" max="9216" width="9.109375" style="461"/>
    <col min="9217" max="9217" width="1.6640625" style="461" customWidth="1"/>
    <col min="9218" max="9218" width="12.109375" style="461" customWidth="1"/>
    <col min="9219" max="9219" width="66.88671875" style="461" customWidth="1"/>
    <col min="9220" max="9220" width="3.6640625" style="461" customWidth="1"/>
    <col min="9221" max="9221" width="12.6640625" style="461" customWidth="1"/>
    <col min="9222" max="9223" width="0" style="461" hidden="1" customWidth="1"/>
    <col min="9224" max="9224" width="2.6640625" style="461" customWidth="1"/>
    <col min="9225" max="9230" width="0" style="461" hidden="1" customWidth="1"/>
    <col min="9231" max="9231" width="2.6640625" style="461" customWidth="1"/>
    <col min="9232" max="9232" width="70.44140625" style="461" customWidth="1"/>
    <col min="9233" max="9472" width="9.109375" style="461"/>
    <col min="9473" max="9473" width="1.6640625" style="461" customWidth="1"/>
    <col min="9474" max="9474" width="12.109375" style="461" customWidth="1"/>
    <col min="9475" max="9475" width="66.88671875" style="461" customWidth="1"/>
    <col min="9476" max="9476" width="3.6640625" style="461" customWidth="1"/>
    <col min="9477" max="9477" width="12.6640625" style="461" customWidth="1"/>
    <col min="9478" max="9479" width="0" style="461" hidden="1" customWidth="1"/>
    <col min="9480" max="9480" width="2.6640625" style="461" customWidth="1"/>
    <col min="9481" max="9486" width="0" style="461" hidden="1" customWidth="1"/>
    <col min="9487" max="9487" width="2.6640625" style="461" customWidth="1"/>
    <col min="9488" max="9488" width="70.44140625" style="461" customWidth="1"/>
    <col min="9489" max="9728" width="9.109375" style="461"/>
    <col min="9729" max="9729" width="1.6640625" style="461" customWidth="1"/>
    <col min="9730" max="9730" width="12.109375" style="461" customWidth="1"/>
    <col min="9731" max="9731" width="66.88671875" style="461" customWidth="1"/>
    <col min="9732" max="9732" width="3.6640625" style="461" customWidth="1"/>
    <col min="9733" max="9733" width="12.6640625" style="461" customWidth="1"/>
    <col min="9734" max="9735" width="0" style="461" hidden="1" customWidth="1"/>
    <col min="9736" max="9736" width="2.6640625" style="461" customWidth="1"/>
    <col min="9737" max="9742" width="0" style="461" hidden="1" customWidth="1"/>
    <col min="9743" max="9743" width="2.6640625" style="461" customWidth="1"/>
    <col min="9744" max="9744" width="70.44140625" style="461" customWidth="1"/>
    <col min="9745" max="9984" width="9.109375" style="461"/>
    <col min="9985" max="9985" width="1.6640625" style="461" customWidth="1"/>
    <col min="9986" max="9986" width="12.109375" style="461" customWidth="1"/>
    <col min="9987" max="9987" width="66.88671875" style="461" customWidth="1"/>
    <col min="9988" max="9988" width="3.6640625" style="461" customWidth="1"/>
    <col min="9989" max="9989" width="12.6640625" style="461" customWidth="1"/>
    <col min="9990" max="9991" width="0" style="461" hidden="1" customWidth="1"/>
    <col min="9992" max="9992" width="2.6640625" style="461" customWidth="1"/>
    <col min="9993" max="9998" width="0" style="461" hidden="1" customWidth="1"/>
    <col min="9999" max="9999" width="2.6640625" style="461" customWidth="1"/>
    <col min="10000" max="10000" width="70.44140625" style="461" customWidth="1"/>
    <col min="10001" max="10240" width="9.109375" style="461"/>
    <col min="10241" max="10241" width="1.6640625" style="461" customWidth="1"/>
    <col min="10242" max="10242" width="12.109375" style="461" customWidth="1"/>
    <col min="10243" max="10243" width="66.88671875" style="461" customWidth="1"/>
    <col min="10244" max="10244" width="3.6640625" style="461" customWidth="1"/>
    <col min="10245" max="10245" width="12.6640625" style="461" customWidth="1"/>
    <col min="10246" max="10247" width="0" style="461" hidden="1" customWidth="1"/>
    <col min="10248" max="10248" width="2.6640625" style="461" customWidth="1"/>
    <col min="10249" max="10254" width="0" style="461" hidden="1" customWidth="1"/>
    <col min="10255" max="10255" width="2.6640625" style="461" customWidth="1"/>
    <col min="10256" max="10256" width="70.44140625" style="461" customWidth="1"/>
    <col min="10257" max="10496" width="9.109375" style="461"/>
    <col min="10497" max="10497" width="1.6640625" style="461" customWidth="1"/>
    <col min="10498" max="10498" width="12.109375" style="461" customWidth="1"/>
    <col min="10499" max="10499" width="66.88671875" style="461" customWidth="1"/>
    <col min="10500" max="10500" width="3.6640625" style="461" customWidth="1"/>
    <col min="10501" max="10501" width="12.6640625" style="461" customWidth="1"/>
    <col min="10502" max="10503" width="0" style="461" hidden="1" customWidth="1"/>
    <col min="10504" max="10504" width="2.6640625" style="461" customWidth="1"/>
    <col min="10505" max="10510" width="0" style="461" hidden="1" customWidth="1"/>
    <col min="10511" max="10511" width="2.6640625" style="461" customWidth="1"/>
    <col min="10512" max="10512" width="70.44140625" style="461" customWidth="1"/>
    <col min="10513" max="10752" width="9.109375" style="461"/>
    <col min="10753" max="10753" width="1.6640625" style="461" customWidth="1"/>
    <col min="10754" max="10754" width="12.109375" style="461" customWidth="1"/>
    <col min="10755" max="10755" width="66.88671875" style="461" customWidth="1"/>
    <col min="10756" max="10756" width="3.6640625" style="461" customWidth="1"/>
    <col min="10757" max="10757" width="12.6640625" style="461" customWidth="1"/>
    <col min="10758" max="10759" width="0" style="461" hidden="1" customWidth="1"/>
    <col min="10760" max="10760" width="2.6640625" style="461" customWidth="1"/>
    <col min="10761" max="10766" width="0" style="461" hidden="1" customWidth="1"/>
    <col min="10767" max="10767" width="2.6640625" style="461" customWidth="1"/>
    <col min="10768" max="10768" width="70.44140625" style="461" customWidth="1"/>
    <col min="10769" max="11008" width="9.109375" style="461"/>
    <col min="11009" max="11009" width="1.6640625" style="461" customWidth="1"/>
    <col min="11010" max="11010" width="12.109375" style="461" customWidth="1"/>
    <col min="11011" max="11011" width="66.88671875" style="461" customWidth="1"/>
    <col min="11012" max="11012" width="3.6640625" style="461" customWidth="1"/>
    <col min="11013" max="11013" width="12.6640625" style="461" customWidth="1"/>
    <col min="11014" max="11015" width="0" style="461" hidden="1" customWidth="1"/>
    <col min="11016" max="11016" width="2.6640625" style="461" customWidth="1"/>
    <col min="11017" max="11022" width="0" style="461" hidden="1" customWidth="1"/>
    <col min="11023" max="11023" width="2.6640625" style="461" customWidth="1"/>
    <col min="11024" max="11024" width="70.44140625" style="461" customWidth="1"/>
    <col min="11025" max="11264" width="9.109375" style="461"/>
    <col min="11265" max="11265" width="1.6640625" style="461" customWidth="1"/>
    <col min="11266" max="11266" width="12.109375" style="461" customWidth="1"/>
    <col min="11267" max="11267" width="66.88671875" style="461" customWidth="1"/>
    <col min="11268" max="11268" width="3.6640625" style="461" customWidth="1"/>
    <col min="11269" max="11269" width="12.6640625" style="461" customWidth="1"/>
    <col min="11270" max="11271" width="0" style="461" hidden="1" customWidth="1"/>
    <col min="11272" max="11272" width="2.6640625" style="461" customWidth="1"/>
    <col min="11273" max="11278" width="0" style="461" hidden="1" customWidth="1"/>
    <col min="11279" max="11279" width="2.6640625" style="461" customWidth="1"/>
    <col min="11280" max="11280" width="70.44140625" style="461" customWidth="1"/>
    <col min="11281" max="11520" width="9.109375" style="461"/>
    <col min="11521" max="11521" width="1.6640625" style="461" customWidth="1"/>
    <col min="11522" max="11522" width="12.109375" style="461" customWidth="1"/>
    <col min="11523" max="11523" width="66.88671875" style="461" customWidth="1"/>
    <col min="11524" max="11524" width="3.6640625" style="461" customWidth="1"/>
    <col min="11525" max="11525" width="12.6640625" style="461" customWidth="1"/>
    <col min="11526" max="11527" width="0" style="461" hidden="1" customWidth="1"/>
    <col min="11528" max="11528" width="2.6640625" style="461" customWidth="1"/>
    <col min="11529" max="11534" width="0" style="461" hidden="1" customWidth="1"/>
    <col min="11535" max="11535" width="2.6640625" style="461" customWidth="1"/>
    <col min="11536" max="11536" width="70.44140625" style="461" customWidth="1"/>
    <col min="11537" max="11776" width="9.109375" style="461"/>
    <col min="11777" max="11777" width="1.6640625" style="461" customWidth="1"/>
    <col min="11778" max="11778" width="12.109375" style="461" customWidth="1"/>
    <col min="11779" max="11779" width="66.88671875" style="461" customWidth="1"/>
    <col min="11780" max="11780" width="3.6640625" style="461" customWidth="1"/>
    <col min="11781" max="11781" width="12.6640625" style="461" customWidth="1"/>
    <col min="11782" max="11783" width="0" style="461" hidden="1" customWidth="1"/>
    <col min="11784" max="11784" width="2.6640625" style="461" customWidth="1"/>
    <col min="11785" max="11790" width="0" style="461" hidden="1" customWidth="1"/>
    <col min="11791" max="11791" width="2.6640625" style="461" customWidth="1"/>
    <col min="11792" max="11792" width="70.44140625" style="461" customWidth="1"/>
    <col min="11793" max="12032" width="9.109375" style="461"/>
    <col min="12033" max="12033" width="1.6640625" style="461" customWidth="1"/>
    <col min="12034" max="12034" width="12.109375" style="461" customWidth="1"/>
    <col min="12035" max="12035" width="66.88671875" style="461" customWidth="1"/>
    <col min="12036" max="12036" width="3.6640625" style="461" customWidth="1"/>
    <col min="12037" max="12037" width="12.6640625" style="461" customWidth="1"/>
    <col min="12038" max="12039" width="0" style="461" hidden="1" customWidth="1"/>
    <col min="12040" max="12040" width="2.6640625" style="461" customWidth="1"/>
    <col min="12041" max="12046" width="0" style="461" hidden="1" customWidth="1"/>
    <col min="12047" max="12047" width="2.6640625" style="461" customWidth="1"/>
    <col min="12048" max="12048" width="70.44140625" style="461" customWidth="1"/>
    <col min="12049" max="12288" width="9.109375" style="461"/>
    <col min="12289" max="12289" width="1.6640625" style="461" customWidth="1"/>
    <col min="12290" max="12290" width="12.109375" style="461" customWidth="1"/>
    <col min="12291" max="12291" width="66.88671875" style="461" customWidth="1"/>
    <col min="12292" max="12292" width="3.6640625" style="461" customWidth="1"/>
    <col min="12293" max="12293" width="12.6640625" style="461" customWidth="1"/>
    <col min="12294" max="12295" width="0" style="461" hidden="1" customWidth="1"/>
    <col min="12296" max="12296" width="2.6640625" style="461" customWidth="1"/>
    <col min="12297" max="12302" width="0" style="461" hidden="1" customWidth="1"/>
    <col min="12303" max="12303" width="2.6640625" style="461" customWidth="1"/>
    <col min="12304" max="12304" width="70.44140625" style="461" customWidth="1"/>
    <col min="12305" max="12544" width="9.109375" style="461"/>
    <col min="12545" max="12545" width="1.6640625" style="461" customWidth="1"/>
    <col min="12546" max="12546" width="12.109375" style="461" customWidth="1"/>
    <col min="12547" max="12547" width="66.88671875" style="461" customWidth="1"/>
    <col min="12548" max="12548" width="3.6640625" style="461" customWidth="1"/>
    <col min="12549" max="12549" width="12.6640625" style="461" customWidth="1"/>
    <col min="12550" max="12551" width="0" style="461" hidden="1" customWidth="1"/>
    <col min="12552" max="12552" width="2.6640625" style="461" customWidth="1"/>
    <col min="12553" max="12558" width="0" style="461" hidden="1" customWidth="1"/>
    <col min="12559" max="12559" width="2.6640625" style="461" customWidth="1"/>
    <col min="12560" max="12560" width="70.44140625" style="461" customWidth="1"/>
    <col min="12561" max="12800" width="9.109375" style="461"/>
    <col min="12801" max="12801" width="1.6640625" style="461" customWidth="1"/>
    <col min="12802" max="12802" width="12.109375" style="461" customWidth="1"/>
    <col min="12803" max="12803" width="66.88671875" style="461" customWidth="1"/>
    <col min="12804" max="12804" width="3.6640625" style="461" customWidth="1"/>
    <col min="12805" max="12805" width="12.6640625" style="461" customWidth="1"/>
    <col min="12806" max="12807" width="0" style="461" hidden="1" customWidth="1"/>
    <col min="12808" max="12808" width="2.6640625" style="461" customWidth="1"/>
    <col min="12809" max="12814" width="0" style="461" hidden="1" customWidth="1"/>
    <col min="12815" max="12815" width="2.6640625" style="461" customWidth="1"/>
    <col min="12816" max="12816" width="70.44140625" style="461" customWidth="1"/>
    <col min="12817" max="13056" width="9.109375" style="461"/>
    <col min="13057" max="13057" width="1.6640625" style="461" customWidth="1"/>
    <col min="13058" max="13058" width="12.109375" style="461" customWidth="1"/>
    <col min="13059" max="13059" width="66.88671875" style="461" customWidth="1"/>
    <col min="13060" max="13060" width="3.6640625" style="461" customWidth="1"/>
    <col min="13061" max="13061" width="12.6640625" style="461" customWidth="1"/>
    <col min="13062" max="13063" width="0" style="461" hidden="1" customWidth="1"/>
    <col min="13064" max="13064" width="2.6640625" style="461" customWidth="1"/>
    <col min="13065" max="13070" width="0" style="461" hidden="1" customWidth="1"/>
    <col min="13071" max="13071" width="2.6640625" style="461" customWidth="1"/>
    <col min="13072" max="13072" width="70.44140625" style="461" customWidth="1"/>
    <col min="13073" max="13312" width="9.109375" style="461"/>
    <col min="13313" max="13313" width="1.6640625" style="461" customWidth="1"/>
    <col min="13314" max="13314" width="12.109375" style="461" customWidth="1"/>
    <col min="13315" max="13315" width="66.88671875" style="461" customWidth="1"/>
    <col min="13316" max="13316" width="3.6640625" style="461" customWidth="1"/>
    <col min="13317" max="13317" width="12.6640625" style="461" customWidth="1"/>
    <col min="13318" max="13319" width="0" style="461" hidden="1" customWidth="1"/>
    <col min="13320" max="13320" width="2.6640625" style="461" customWidth="1"/>
    <col min="13321" max="13326" width="0" style="461" hidden="1" customWidth="1"/>
    <col min="13327" max="13327" width="2.6640625" style="461" customWidth="1"/>
    <col min="13328" max="13328" width="70.44140625" style="461" customWidth="1"/>
    <col min="13329" max="13568" width="9.109375" style="461"/>
    <col min="13569" max="13569" width="1.6640625" style="461" customWidth="1"/>
    <col min="13570" max="13570" width="12.109375" style="461" customWidth="1"/>
    <col min="13571" max="13571" width="66.88671875" style="461" customWidth="1"/>
    <col min="13572" max="13572" width="3.6640625" style="461" customWidth="1"/>
    <col min="13573" max="13573" width="12.6640625" style="461" customWidth="1"/>
    <col min="13574" max="13575" width="0" style="461" hidden="1" customWidth="1"/>
    <col min="13576" max="13576" width="2.6640625" style="461" customWidth="1"/>
    <col min="13577" max="13582" width="0" style="461" hidden="1" customWidth="1"/>
    <col min="13583" max="13583" width="2.6640625" style="461" customWidth="1"/>
    <col min="13584" max="13584" width="70.44140625" style="461" customWidth="1"/>
    <col min="13585" max="13824" width="9.109375" style="461"/>
    <col min="13825" max="13825" width="1.6640625" style="461" customWidth="1"/>
    <col min="13826" max="13826" width="12.109375" style="461" customWidth="1"/>
    <col min="13827" max="13827" width="66.88671875" style="461" customWidth="1"/>
    <col min="13828" max="13828" width="3.6640625" style="461" customWidth="1"/>
    <col min="13829" max="13829" width="12.6640625" style="461" customWidth="1"/>
    <col min="13830" max="13831" width="0" style="461" hidden="1" customWidth="1"/>
    <col min="13832" max="13832" width="2.6640625" style="461" customWidth="1"/>
    <col min="13833" max="13838" width="0" style="461" hidden="1" customWidth="1"/>
    <col min="13839" max="13839" width="2.6640625" style="461" customWidth="1"/>
    <col min="13840" max="13840" width="70.44140625" style="461" customWidth="1"/>
    <col min="13841" max="14080" width="9.109375" style="461"/>
    <col min="14081" max="14081" width="1.6640625" style="461" customWidth="1"/>
    <col min="14082" max="14082" width="12.109375" style="461" customWidth="1"/>
    <col min="14083" max="14083" width="66.88671875" style="461" customWidth="1"/>
    <col min="14084" max="14084" width="3.6640625" style="461" customWidth="1"/>
    <col min="14085" max="14085" width="12.6640625" style="461" customWidth="1"/>
    <col min="14086" max="14087" width="0" style="461" hidden="1" customWidth="1"/>
    <col min="14088" max="14088" width="2.6640625" style="461" customWidth="1"/>
    <col min="14089" max="14094" width="0" style="461" hidden="1" customWidth="1"/>
    <col min="14095" max="14095" width="2.6640625" style="461" customWidth="1"/>
    <col min="14096" max="14096" width="70.44140625" style="461" customWidth="1"/>
    <col min="14097" max="14336" width="9.109375" style="461"/>
    <col min="14337" max="14337" width="1.6640625" style="461" customWidth="1"/>
    <col min="14338" max="14338" width="12.109375" style="461" customWidth="1"/>
    <col min="14339" max="14339" width="66.88671875" style="461" customWidth="1"/>
    <col min="14340" max="14340" width="3.6640625" style="461" customWidth="1"/>
    <col min="14341" max="14341" width="12.6640625" style="461" customWidth="1"/>
    <col min="14342" max="14343" width="0" style="461" hidden="1" customWidth="1"/>
    <col min="14344" max="14344" width="2.6640625" style="461" customWidth="1"/>
    <col min="14345" max="14350" width="0" style="461" hidden="1" customWidth="1"/>
    <col min="14351" max="14351" width="2.6640625" style="461" customWidth="1"/>
    <col min="14352" max="14352" width="70.44140625" style="461" customWidth="1"/>
    <col min="14353" max="14592" width="9.109375" style="461"/>
    <col min="14593" max="14593" width="1.6640625" style="461" customWidth="1"/>
    <col min="14594" max="14594" width="12.109375" style="461" customWidth="1"/>
    <col min="14595" max="14595" width="66.88671875" style="461" customWidth="1"/>
    <col min="14596" max="14596" width="3.6640625" style="461" customWidth="1"/>
    <col min="14597" max="14597" width="12.6640625" style="461" customWidth="1"/>
    <col min="14598" max="14599" width="0" style="461" hidden="1" customWidth="1"/>
    <col min="14600" max="14600" width="2.6640625" style="461" customWidth="1"/>
    <col min="14601" max="14606" width="0" style="461" hidden="1" customWidth="1"/>
    <col min="14607" max="14607" width="2.6640625" style="461" customWidth="1"/>
    <col min="14608" max="14608" width="70.44140625" style="461" customWidth="1"/>
    <col min="14609" max="14848" width="9.109375" style="461"/>
    <col min="14849" max="14849" width="1.6640625" style="461" customWidth="1"/>
    <col min="14850" max="14850" width="12.109375" style="461" customWidth="1"/>
    <col min="14851" max="14851" width="66.88671875" style="461" customWidth="1"/>
    <col min="14852" max="14852" width="3.6640625" style="461" customWidth="1"/>
    <col min="14853" max="14853" width="12.6640625" style="461" customWidth="1"/>
    <col min="14854" max="14855" width="0" style="461" hidden="1" customWidth="1"/>
    <col min="14856" max="14856" width="2.6640625" style="461" customWidth="1"/>
    <col min="14857" max="14862" width="0" style="461" hidden="1" customWidth="1"/>
    <col min="14863" max="14863" width="2.6640625" style="461" customWidth="1"/>
    <col min="14864" max="14864" width="70.44140625" style="461" customWidth="1"/>
    <col min="14865" max="15104" width="9.109375" style="461"/>
    <col min="15105" max="15105" width="1.6640625" style="461" customWidth="1"/>
    <col min="15106" max="15106" width="12.109375" style="461" customWidth="1"/>
    <col min="15107" max="15107" width="66.88671875" style="461" customWidth="1"/>
    <col min="15108" max="15108" width="3.6640625" style="461" customWidth="1"/>
    <col min="15109" max="15109" width="12.6640625" style="461" customWidth="1"/>
    <col min="15110" max="15111" width="0" style="461" hidden="1" customWidth="1"/>
    <col min="15112" max="15112" width="2.6640625" style="461" customWidth="1"/>
    <col min="15113" max="15118" width="0" style="461" hidden="1" customWidth="1"/>
    <col min="15119" max="15119" width="2.6640625" style="461" customWidth="1"/>
    <col min="15120" max="15120" width="70.44140625" style="461" customWidth="1"/>
    <col min="15121" max="15360" width="9.109375" style="461"/>
    <col min="15361" max="15361" width="1.6640625" style="461" customWidth="1"/>
    <col min="15362" max="15362" width="12.109375" style="461" customWidth="1"/>
    <col min="15363" max="15363" width="66.88671875" style="461" customWidth="1"/>
    <col min="15364" max="15364" width="3.6640625" style="461" customWidth="1"/>
    <col min="15365" max="15365" width="12.6640625" style="461" customWidth="1"/>
    <col min="15366" max="15367" width="0" style="461" hidden="1" customWidth="1"/>
    <col min="15368" max="15368" width="2.6640625" style="461" customWidth="1"/>
    <col min="15369" max="15374" width="0" style="461" hidden="1" customWidth="1"/>
    <col min="15375" max="15375" width="2.6640625" style="461" customWidth="1"/>
    <col min="15376" max="15376" width="70.44140625" style="461" customWidth="1"/>
    <col min="15377" max="15616" width="9.109375" style="461"/>
    <col min="15617" max="15617" width="1.6640625" style="461" customWidth="1"/>
    <col min="15618" max="15618" width="12.109375" style="461" customWidth="1"/>
    <col min="15619" max="15619" width="66.88671875" style="461" customWidth="1"/>
    <col min="15620" max="15620" width="3.6640625" style="461" customWidth="1"/>
    <col min="15621" max="15621" width="12.6640625" style="461" customWidth="1"/>
    <col min="15622" max="15623" width="0" style="461" hidden="1" customWidth="1"/>
    <col min="15624" max="15624" width="2.6640625" style="461" customWidth="1"/>
    <col min="15625" max="15630" width="0" style="461" hidden="1" customWidth="1"/>
    <col min="15631" max="15631" width="2.6640625" style="461" customWidth="1"/>
    <col min="15632" max="15632" width="70.44140625" style="461" customWidth="1"/>
    <col min="15633" max="15872" width="9.109375" style="461"/>
    <col min="15873" max="15873" width="1.6640625" style="461" customWidth="1"/>
    <col min="15874" max="15874" width="12.109375" style="461" customWidth="1"/>
    <col min="15875" max="15875" width="66.88671875" style="461" customWidth="1"/>
    <col min="15876" max="15876" width="3.6640625" style="461" customWidth="1"/>
    <col min="15877" max="15877" width="12.6640625" style="461" customWidth="1"/>
    <col min="15878" max="15879" width="0" style="461" hidden="1" customWidth="1"/>
    <col min="15880" max="15880" width="2.6640625" style="461" customWidth="1"/>
    <col min="15881" max="15886" width="0" style="461" hidden="1" customWidth="1"/>
    <col min="15887" max="15887" width="2.6640625" style="461" customWidth="1"/>
    <col min="15888" max="15888" width="70.44140625" style="461" customWidth="1"/>
    <col min="15889" max="16128" width="9.109375" style="461"/>
    <col min="16129" max="16129" width="1.6640625" style="461" customWidth="1"/>
    <col min="16130" max="16130" width="12.109375" style="461" customWidth="1"/>
    <col min="16131" max="16131" width="66.88671875" style="461" customWidth="1"/>
    <col min="16132" max="16132" width="3.6640625" style="461" customWidth="1"/>
    <col min="16133" max="16133" width="12.6640625" style="461" customWidth="1"/>
    <col min="16134" max="16135" width="0" style="461" hidden="1" customWidth="1"/>
    <col min="16136" max="16136" width="2.6640625" style="461" customWidth="1"/>
    <col min="16137" max="16142" width="0" style="461" hidden="1" customWidth="1"/>
    <col min="16143" max="16143" width="2.6640625" style="461" customWidth="1"/>
    <col min="16144" max="16144" width="70.44140625" style="461" customWidth="1"/>
    <col min="16145" max="16384" width="9.109375" style="461"/>
  </cols>
  <sheetData>
    <row r="2" spans="1:17" x14ac:dyDescent="0.25">
      <c r="C2" s="421" t="s">
        <v>113</v>
      </c>
      <c r="D2" s="460"/>
      <c r="E2" s="460"/>
      <c r="G2" s="460"/>
      <c r="H2" s="460"/>
      <c r="I2" s="460"/>
      <c r="J2" s="460"/>
      <c r="K2" s="460"/>
      <c r="L2" s="460"/>
      <c r="M2" s="460"/>
      <c r="N2" s="460"/>
      <c r="O2" s="460"/>
      <c r="P2" s="492"/>
      <c r="Q2" s="460"/>
    </row>
    <row r="3" spans="1:17" ht="3" customHeight="1" x14ac:dyDescent="0.25"/>
    <row r="4" spans="1:17" x14ac:dyDescent="0.25">
      <c r="C4" s="460" t="s">
        <v>572</v>
      </c>
      <c r="D4" s="460"/>
      <c r="E4" s="460"/>
      <c r="G4" s="460"/>
    </row>
    <row r="5" spans="1:17" x14ac:dyDescent="0.25">
      <c r="C5" s="460"/>
      <c r="D5" s="460"/>
      <c r="E5" s="494" t="s">
        <v>116</v>
      </c>
      <c r="G5" s="494" t="s">
        <v>124</v>
      </c>
      <c r="I5" s="463" t="s">
        <v>118</v>
      </c>
      <c r="J5" s="495"/>
      <c r="K5" s="463" t="s">
        <v>118</v>
      </c>
      <c r="L5" s="495"/>
      <c r="M5" s="463" t="s">
        <v>377</v>
      </c>
      <c r="N5" s="495"/>
      <c r="O5" s="495"/>
      <c r="P5" s="494"/>
    </row>
    <row r="6" spans="1:17" ht="15" customHeight="1" x14ac:dyDescent="0.25">
      <c r="B6" s="688" t="s">
        <v>125</v>
      </c>
      <c r="C6" s="496" t="s">
        <v>126</v>
      </c>
      <c r="D6" s="462"/>
      <c r="E6" s="497">
        <v>2025</v>
      </c>
      <c r="G6" s="498" t="s">
        <v>607</v>
      </c>
      <c r="I6" s="469" t="s">
        <v>120</v>
      </c>
      <c r="J6" s="495"/>
      <c r="K6" s="469" t="s">
        <v>121</v>
      </c>
      <c r="L6" s="495"/>
      <c r="M6" s="469" t="s">
        <v>116</v>
      </c>
      <c r="N6" s="495"/>
      <c r="O6" s="495"/>
      <c r="P6" s="499" t="s">
        <v>123</v>
      </c>
    </row>
    <row r="7" spans="1:17" ht="19.95" customHeight="1" x14ac:dyDescent="0.25">
      <c r="B7" s="557" t="s">
        <v>573</v>
      </c>
      <c r="C7" s="432" t="s">
        <v>574</v>
      </c>
      <c r="E7" s="471">
        <f>'[10]Capex Detail'!E11</f>
        <v>165000</v>
      </c>
      <c r="F7" s="493"/>
      <c r="G7" s="471"/>
      <c r="I7" s="471">
        <f t="shared" ref="I7:I12" si="0">+E7-G7</f>
        <v>165000</v>
      </c>
      <c r="J7" s="472"/>
      <c r="K7" s="500">
        <f t="shared" ref="K7:K12" si="1">G7+I7</f>
        <v>165000</v>
      </c>
      <c r="L7" s="501"/>
      <c r="M7" s="500">
        <f t="shared" ref="M7:M12" si="2">E7-G7</f>
        <v>165000</v>
      </c>
      <c r="N7" s="501"/>
      <c r="O7" s="501"/>
      <c r="P7" s="682"/>
    </row>
    <row r="8" spans="1:17" ht="19.95" customHeight="1" x14ac:dyDescent="0.25">
      <c r="B8" s="557" t="s">
        <v>575</v>
      </c>
      <c r="C8" s="438" t="s">
        <v>424</v>
      </c>
      <c r="D8" s="472"/>
      <c r="E8" s="500">
        <v>28372</v>
      </c>
      <c r="G8" s="471"/>
      <c r="I8" s="471">
        <f t="shared" si="0"/>
        <v>28372</v>
      </c>
      <c r="J8" s="472"/>
      <c r="K8" s="500">
        <f t="shared" si="1"/>
        <v>28372</v>
      </c>
      <c r="L8" s="461"/>
      <c r="M8" s="500">
        <f t="shared" si="2"/>
        <v>28372</v>
      </c>
      <c r="N8" s="461"/>
      <c r="O8" s="502"/>
      <c r="P8" s="683" t="s">
        <v>608</v>
      </c>
    </row>
    <row r="9" spans="1:17" s="472" customFormat="1" ht="19.95" customHeight="1" x14ac:dyDescent="0.25">
      <c r="A9" s="474"/>
      <c r="B9" s="557" t="s">
        <v>577</v>
      </c>
      <c r="C9" s="439" t="s">
        <v>430</v>
      </c>
      <c r="E9" s="500">
        <v>15000</v>
      </c>
      <c r="G9" s="471"/>
      <c r="I9" s="471">
        <f t="shared" si="0"/>
        <v>15000</v>
      </c>
      <c r="K9" s="500">
        <f t="shared" si="1"/>
        <v>15000</v>
      </c>
      <c r="M9" s="500">
        <f t="shared" si="2"/>
        <v>15000</v>
      </c>
      <c r="O9" s="503"/>
      <c r="P9" s="483"/>
    </row>
    <row r="10" spans="1:17" s="472" customFormat="1" ht="19.95" customHeight="1" x14ac:dyDescent="0.25">
      <c r="A10" s="474"/>
      <c r="B10" s="557" t="s">
        <v>578</v>
      </c>
      <c r="C10" s="560" t="s">
        <v>579</v>
      </c>
      <c r="E10" s="500">
        <v>20000</v>
      </c>
      <c r="G10" s="471"/>
      <c r="I10" s="471">
        <f t="shared" si="0"/>
        <v>20000</v>
      </c>
      <c r="K10" s="500">
        <f t="shared" si="1"/>
        <v>20000</v>
      </c>
      <c r="M10" s="500">
        <f t="shared" si="2"/>
        <v>20000</v>
      </c>
      <c r="O10" s="503"/>
      <c r="P10" s="476"/>
    </row>
    <row r="11" spans="1:17" s="472" customFormat="1" ht="19.95" customHeight="1" x14ac:dyDescent="0.25">
      <c r="A11" s="474"/>
      <c r="B11" s="557" t="s">
        <v>580</v>
      </c>
      <c r="C11" s="439" t="s">
        <v>581</v>
      </c>
      <c r="E11" s="500">
        <v>50000</v>
      </c>
      <c r="G11" s="471"/>
      <c r="I11" s="471">
        <f t="shared" si="0"/>
        <v>50000</v>
      </c>
      <c r="K11" s="500">
        <f t="shared" si="1"/>
        <v>50000</v>
      </c>
      <c r="M11" s="500">
        <f t="shared" si="2"/>
        <v>50000</v>
      </c>
      <c r="O11" s="503"/>
      <c r="P11" s="682"/>
    </row>
    <row r="12" spans="1:17" s="472" customFormat="1" ht="15" customHeight="1" x14ac:dyDescent="0.25">
      <c r="A12" s="474"/>
      <c r="B12" s="689" t="s">
        <v>582</v>
      </c>
      <c r="C12" s="476" t="s">
        <v>583</v>
      </c>
      <c r="E12" s="500">
        <v>95000</v>
      </c>
      <c r="G12" s="471"/>
      <c r="I12" s="471">
        <f t="shared" si="0"/>
        <v>95000</v>
      </c>
      <c r="K12" s="500">
        <f t="shared" si="1"/>
        <v>95000</v>
      </c>
      <c r="M12" s="500">
        <f t="shared" si="2"/>
        <v>95000</v>
      </c>
      <c r="P12" s="483" t="s">
        <v>609</v>
      </c>
    </row>
    <row r="13" spans="1:17" ht="15" customHeight="1" x14ac:dyDescent="0.25">
      <c r="B13" s="483"/>
      <c r="C13" s="476"/>
      <c r="D13" s="472"/>
      <c r="E13" s="504"/>
      <c r="F13" s="472"/>
      <c r="G13" s="471"/>
      <c r="H13" s="472"/>
      <c r="I13" s="471"/>
      <c r="J13" s="472"/>
      <c r="K13" s="500">
        <f>+E13</f>
        <v>0</v>
      </c>
      <c r="L13" s="472"/>
      <c r="M13" s="500">
        <f>+E13-G13</f>
        <v>0</v>
      </c>
      <c r="N13" s="472"/>
      <c r="O13" s="472"/>
      <c r="P13" s="476"/>
    </row>
    <row r="14" spans="1:17" s="487" customFormat="1" ht="15" customHeight="1" x14ac:dyDescent="0.25">
      <c r="A14" s="485"/>
      <c r="B14" s="485"/>
      <c r="C14" s="486" t="s">
        <v>585</v>
      </c>
      <c r="E14" s="488">
        <f>SUM(E7:E13)</f>
        <v>373372</v>
      </c>
      <c r="F14" s="505"/>
      <c r="G14" s="488">
        <f>SUM(G7:G13)</f>
        <v>0</v>
      </c>
      <c r="I14" s="488">
        <f>SUM(I7:I13)</f>
        <v>373372</v>
      </c>
      <c r="J14" s="505"/>
      <c r="K14" s="488">
        <f>SUM(K7:K13)</f>
        <v>373372</v>
      </c>
      <c r="L14" s="506"/>
      <c r="M14" s="488">
        <f>SUM(M7:M13)</f>
        <v>373372</v>
      </c>
      <c r="N14" s="506"/>
      <c r="O14" s="506"/>
    </row>
    <row r="15" spans="1:17" s="487" customFormat="1" ht="15" customHeight="1" x14ac:dyDescent="0.25">
      <c r="A15" s="485"/>
      <c r="B15" s="485"/>
      <c r="E15" s="507"/>
      <c r="F15" s="505"/>
      <c r="G15" s="508"/>
      <c r="I15" s="507"/>
      <c r="J15" s="505"/>
      <c r="K15" s="507"/>
      <c r="L15" s="506"/>
      <c r="M15" s="507"/>
      <c r="N15" s="506"/>
      <c r="O15" s="506"/>
    </row>
    <row r="16" spans="1:17" ht="17.399999999999999" x14ac:dyDescent="0.3">
      <c r="P16" s="491" t="s">
        <v>586</v>
      </c>
    </row>
    <row r="17" spans="9:9" x14ac:dyDescent="0.25">
      <c r="I17" s="461" t="s">
        <v>507</v>
      </c>
    </row>
    <row r="20" spans="9:9" x14ac:dyDescent="0.25">
      <c r="I20" s="509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3479D-F549-4D58-8F5C-07D50FD21D40}">
  <sheetPr>
    <tabColor rgb="FFFFFF00"/>
  </sheetPr>
  <dimension ref="A2:P40"/>
  <sheetViews>
    <sheetView topLeftCell="A4" workbookViewId="0">
      <selection activeCell="N31" sqref="N31"/>
    </sheetView>
  </sheetViews>
  <sheetFormatPr defaultColWidth="9.109375" defaultRowHeight="13.2" x14ac:dyDescent="0.25"/>
  <cols>
    <col min="1" max="1" width="1.6640625" style="707" customWidth="1"/>
    <col min="2" max="3" width="9.109375" style="690" hidden="1" customWidth="1"/>
    <col min="4" max="5" width="12.88671875" style="690" hidden="1" customWidth="1"/>
    <col min="6" max="7" width="14.6640625" style="690" hidden="1" customWidth="1"/>
    <col min="8" max="8" width="4" style="690" customWidth="1"/>
    <col min="9" max="10" width="9.109375" style="690"/>
    <col min="11" max="11" width="12.88671875" style="690" bestFit="1" customWidth="1"/>
    <col min="12" max="12" width="11.5546875" style="690" customWidth="1"/>
    <col min="13" max="15" width="14.6640625" style="690" customWidth="1"/>
    <col min="16" max="16" width="31" style="690" customWidth="1"/>
    <col min="17" max="17" width="10.33203125" style="690" bestFit="1" customWidth="1"/>
    <col min="18" max="256" width="9.109375" style="690"/>
    <col min="257" max="257" width="1.6640625" style="690" customWidth="1"/>
    <col min="258" max="263" width="0" style="690" hidden="1" customWidth="1"/>
    <col min="264" max="264" width="4" style="690" customWidth="1"/>
    <col min="265" max="266" width="9.109375" style="690"/>
    <col min="267" max="267" width="12.88671875" style="690" bestFit="1" customWidth="1"/>
    <col min="268" max="268" width="11.5546875" style="690" customWidth="1"/>
    <col min="269" max="271" width="14.6640625" style="690" customWidth="1"/>
    <col min="272" max="272" width="31" style="690" customWidth="1"/>
    <col min="273" max="273" width="10.33203125" style="690" bestFit="1" customWidth="1"/>
    <col min="274" max="512" width="9.109375" style="690"/>
    <col min="513" max="513" width="1.6640625" style="690" customWidth="1"/>
    <col min="514" max="519" width="0" style="690" hidden="1" customWidth="1"/>
    <col min="520" max="520" width="4" style="690" customWidth="1"/>
    <col min="521" max="522" width="9.109375" style="690"/>
    <col min="523" max="523" width="12.88671875" style="690" bestFit="1" customWidth="1"/>
    <col min="524" max="524" width="11.5546875" style="690" customWidth="1"/>
    <col min="525" max="527" width="14.6640625" style="690" customWidth="1"/>
    <col min="528" max="528" width="31" style="690" customWidth="1"/>
    <col min="529" max="529" width="10.33203125" style="690" bestFit="1" customWidth="1"/>
    <col min="530" max="768" width="9.109375" style="690"/>
    <col min="769" max="769" width="1.6640625" style="690" customWidth="1"/>
    <col min="770" max="775" width="0" style="690" hidden="1" customWidth="1"/>
    <col min="776" max="776" width="4" style="690" customWidth="1"/>
    <col min="777" max="778" width="9.109375" style="690"/>
    <col min="779" max="779" width="12.88671875" style="690" bestFit="1" customWidth="1"/>
    <col min="780" max="780" width="11.5546875" style="690" customWidth="1"/>
    <col min="781" max="783" width="14.6640625" style="690" customWidth="1"/>
    <col min="784" max="784" width="31" style="690" customWidth="1"/>
    <col min="785" max="785" width="10.33203125" style="690" bestFit="1" customWidth="1"/>
    <col min="786" max="1024" width="9.109375" style="690"/>
    <col min="1025" max="1025" width="1.6640625" style="690" customWidth="1"/>
    <col min="1026" max="1031" width="0" style="690" hidden="1" customWidth="1"/>
    <col min="1032" max="1032" width="4" style="690" customWidth="1"/>
    <col min="1033" max="1034" width="9.109375" style="690"/>
    <col min="1035" max="1035" width="12.88671875" style="690" bestFit="1" customWidth="1"/>
    <col min="1036" max="1036" width="11.5546875" style="690" customWidth="1"/>
    <col min="1037" max="1039" width="14.6640625" style="690" customWidth="1"/>
    <col min="1040" max="1040" width="31" style="690" customWidth="1"/>
    <col min="1041" max="1041" width="10.33203125" style="690" bestFit="1" customWidth="1"/>
    <col min="1042" max="1280" width="9.109375" style="690"/>
    <col min="1281" max="1281" width="1.6640625" style="690" customWidth="1"/>
    <col min="1282" max="1287" width="0" style="690" hidden="1" customWidth="1"/>
    <col min="1288" max="1288" width="4" style="690" customWidth="1"/>
    <col min="1289" max="1290" width="9.109375" style="690"/>
    <col min="1291" max="1291" width="12.88671875" style="690" bestFit="1" customWidth="1"/>
    <col min="1292" max="1292" width="11.5546875" style="690" customWidth="1"/>
    <col min="1293" max="1295" width="14.6640625" style="690" customWidth="1"/>
    <col min="1296" max="1296" width="31" style="690" customWidth="1"/>
    <col min="1297" max="1297" width="10.33203125" style="690" bestFit="1" customWidth="1"/>
    <col min="1298" max="1536" width="9.109375" style="690"/>
    <col min="1537" max="1537" width="1.6640625" style="690" customWidth="1"/>
    <col min="1538" max="1543" width="0" style="690" hidden="1" customWidth="1"/>
    <col min="1544" max="1544" width="4" style="690" customWidth="1"/>
    <col min="1545" max="1546" width="9.109375" style="690"/>
    <col min="1547" max="1547" width="12.88671875" style="690" bestFit="1" customWidth="1"/>
    <col min="1548" max="1548" width="11.5546875" style="690" customWidth="1"/>
    <col min="1549" max="1551" width="14.6640625" style="690" customWidth="1"/>
    <col min="1552" max="1552" width="31" style="690" customWidth="1"/>
    <col min="1553" max="1553" width="10.33203125" style="690" bestFit="1" customWidth="1"/>
    <col min="1554" max="1792" width="9.109375" style="690"/>
    <col min="1793" max="1793" width="1.6640625" style="690" customWidth="1"/>
    <col min="1794" max="1799" width="0" style="690" hidden="1" customWidth="1"/>
    <col min="1800" max="1800" width="4" style="690" customWidth="1"/>
    <col min="1801" max="1802" width="9.109375" style="690"/>
    <col min="1803" max="1803" width="12.88671875" style="690" bestFit="1" customWidth="1"/>
    <col min="1804" max="1804" width="11.5546875" style="690" customWidth="1"/>
    <col min="1805" max="1807" width="14.6640625" style="690" customWidth="1"/>
    <col min="1808" max="1808" width="31" style="690" customWidth="1"/>
    <col min="1809" max="1809" width="10.33203125" style="690" bestFit="1" customWidth="1"/>
    <col min="1810" max="2048" width="9.109375" style="690"/>
    <col min="2049" max="2049" width="1.6640625" style="690" customWidth="1"/>
    <col min="2050" max="2055" width="0" style="690" hidden="1" customWidth="1"/>
    <col min="2056" max="2056" width="4" style="690" customWidth="1"/>
    <col min="2057" max="2058" width="9.109375" style="690"/>
    <col min="2059" max="2059" width="12.88671875" style="690" bestFit="1" customWidth="1"/>
    <col min="2060" max="2060" width="11.5546875" style="690" customWidth="1"/>
    <col min="2061" max="2063" width="14.6640625" style="690" customWidth="1"/>
    <col min="2064" max="2064" width="31" style="690" customWidth="1"/>
    <col min="2065" max="2065" width="10.33203125" style="690" bestFit="1" customWidth="1"/>
    <col min="2066" max="2304" width="9.109375" style="690"/>
    <col min="2305" max="2305" width="1.6640625" style="690" customWidth="1"/>
    <col min="2306" max="2311" width="0" style="690" hidden="1" customWidth="1"/>
    <col min="2312" max="2312" width="4" style="690" customWidth="1"/>
    <col min="2313" max="2314" width="9.109375" style="690"/>
    <col min="2315" max="2315" width="12.88671875" style="690" bestFit="1" customWidth="1"/>
    <col min="2316" max="2316" width="11.5546875" style="690" customWidth="1"/>
    <col min="2317" max="2319" width="14.6640625" style="690" customWidth="1"/>
    <col min="2320" max="2320" width="31" style="690" customWidth="1"/>
    <col min="2321" max="2321" width="10.33203125" style="690" bestFit="1" customWidth="1"/>
    <col min="2322" max="2560" width="9.109375" style="690"/>
    <col min="2561" max="2561" width="1.6640625" style="690" customWidth="1"/>
    <col min="2562" max="2567" width="0" style="690" hidden="1" customWidth="1"/>
    <col min="2568" max="2568" width="4" style="690" customWidth="1"/>
    <col min="2569" max="2570" width="9.109375" style="690"/>
    <col min="2571" max="2571" width="12.88671875" style="690" bestFit="1" customWidth="1"/>
    <col min="2572" max="2572" width="11.5546875" style="690" customWidth="1"/>
    <col min="2573" max="2575" width="14.6640625" style="690" customWidth="1"/>
    <col min="2576" max="2576" width="31" style="690" customWidth="1"/>
    <col min="2577" max="2577" width="10.33203125" style="690" bestFit="1" customWidth="1"/>
    <col min="2578" max="2816" width="9.109375" style="690"/>
    <col min="2817" max="2817" width="1.6640625" style="690" customWidth="1"/>
    <col min="2818" max="2823" width="0" style="690" hidden="1" customWidth="1"/>
    <col min="2824" max="2824" width="4" style="690" customWidth="1"/>
    <col min="2825" max="2826" width="9.109375" style="690"/>
    <col min="2827" max="2827" width="12.88671875" style="690" bestFit="1" customWidth="1"/>
    <col min="2828" max="2828" width="11.5546875" style="690" customWidth="1"/>
    <col min="2829" max="2831" width="14.6640625" style="690" customWidth="1"/>
    <col min="2832" max="2832" width="31" style="690" customWidth="1"/>
    <col min="2833" max="2833" width="10.33203125" style="690" bestFit="1" customWidth="1"/>
    <col min="2834" max="3072" width="9.109375" style="690"/>
    <col min="3073" max="3073" width="1.6640625" style="690" customWidth="1"/>
    <col min="3074" max="3079" width="0" style="690" hidden="1" customWidth="1"/>
    <col min="3080" max="3080" width="4" style="690" customWidth="1"/>
    <col min="3081" max="3082" width="9.109375" style="690"/>
    <col min="3083" max="3083" width="12.88671875" style="690" bestFit="1" customWidth="1"/>
    <col min="3084" max="3084" width="11.5546875" style="690" customWidth="1"/>
    <col min="3085" max="3087" width="14.6640625" style="690" customWidth="1"/>
    <col min="3088" max="3088" width="31" style="690" customWidth="1"/>
    <col min="3089" max="3089" width="10.33203125" style="690" bestFit="1" customWidth="1"/>
    <col min="3090" max="3328" width="9.109375" style="690"/>
    <col min="3329" max="3329" width="1.6640625" style="690" customWidth="1"/>
    <col min="3330" max="3335" width="0" style="690" hidden="1" customWidth="1"/>
    <col min="3336" max="3336" width="4" style="690" customWidth="1"/>
    <col min="3337" max="3338" width="9.109375" style="690"/>
    <col min="3339" max="3339" width="12.88671875" style="690" bestFit="1" customWidth="1"/>
    <col min="3340" max="3340" width="11.5546875" style="690" customWidth="1"/>
    <col min="3341" max="3343" width="14.6640625" style="690" customWidth="1"/>
    <col min="3344" max="3344" width="31" style="690" customWidth="1"/>
    <col min="3345" max="3345" width="10.33203125" style="690" bestFit="1" customWidth="1"/>
    <col min="3346" max="3584" width="9.109375" style="690"/>
    <col min="3585" max="3585" width="1.6640625" style="690" customWidth="1"/>
    <col min="3586" max="3591" width="0" style="690" hidden="1" customWidth="1"/>
    <col min="3592" max="3592" width="4" style="690" customWidth="1"/>
    <col min="3593" max="3594" width="9.109375" style="690"/>
    <col min="3595" max="3595" width="12.88671875" style="690" bestFit="1" customWidth="1"/>
    <col min="3596" max="3596" width="11.5546875" style="690" customWidth="1"/>
    <col min="3597" max="3599" width="14.6640625" style="690" customWidth="1"/>
    <col min="3600" max="3600" width="31" style="690" customWidth="1"/>
    <col min="3601" max="3601" width="10.33203125" style="690" bestFit="1" customWidth="1"/>
    <col min="3602" max="3840" width="9.109375" style="690"/>
    <col min="3841" max="3841" width="1.6640625" style="690" customWidth="1"/>
    <col min="3842" max="3847" width="0" style="690" hidden="1" customWidth="1"/>
    <col min="3848" max="3848" width="4" style="690" customWidth="1"/>
    <col min="3849" max="3850" width="9.109375" style="690"/>
    <col min="3851" max="3851" width="12.88671875" style="690" bestFit="1" customWidth="1"/>
    <col min="3852" max="3852" width="11.5546875" style="690" customWidth="1"/>
    <col min="3853" max="3855" width="14.6640625" style="690" customWidth="1"/>
    <col min="3856" max="3856" width="31" style="690" customWidth="1"/>
    <col min="3857" max="3857" width="10.33203125" style="690" bestFit="1" customWidth="1"/>
    <col min="3858" max="4096" width="9.109375" style="690"/>
    <col min="4097" max="4097" width="1.6640625" style="690" customWidth="1"/>
    <col min="4098" max="4103" width="0" style="690" hidden="1" customWidth="1"/>
    <col min="4104" max="4104" width="4" style="690" customWidth="1"/>
    <col min="4105" max="4106" width="9.109375" style="690"/>
    <col min="4107" max="4107" width="12.88671875" style="690" bestFit="1" customWidth="1"/>
    <col min="4108" max="4108" width="11.5546875" style="690" customWidth="1"/>
    <col min="4109" max="4111" width="14.6640625" style="690" customWidth="1"/>
    <col min="4112" max="4112" width="31" style="690" customWidth="1"/>
    <col min="4113" max="4113" width="10.33203125" style="690" bestFit="1" customWidth="1"/>
    <col min="4114" max="4352" width="9.109375" style="690"/>
    <col min="4353" max="4353" width="1.6640625" style="690" customWidth="1"/>
    <col min="4354" max="4359" width="0" style="690" hidden="1" customWidth="1"/>
    <col min="4360" max="4360" width="4" style="690" customWidth="1"/>
    <col min="4361" max="4362" width="9.109375" style="690"/>
    <col min="4363" max="4363" width="12.88671875" style="690" bestFit="1" customWidth="1"/>
    <col min="4364" max="4364" width="11.5546875" style="690" customWidth="1"/>
    <col min="4365" max="4367" width="14.6640625" style="690" customWidth="1"/>
    <col min="4368" max="4368" width="31" style="690" customWidth="1"/>
    <col min="4369" max="4369" width="10.33203125" style="690" bestFit="1" customWidth="1"/>
    <col min="4370" max="4608" width="9.109375" style="690"/>
    <col min="4609" max="4609" width="1.6640625" style="690" customWidth="1"/>
    <col min="4610" max="4615" width="0" style="690" hidden="1" customWidth="1"/>
    <col min="4616" max="4616" width="4" style="690" customWidth="1"/>
    <col min="4617" max="4618" width="9.109375" style="690"/>
    <col min="4619" max="4619" width="12.88671875" style="690" bestFit="1" customWidth="1"/>
    <col min="4620" max="4620" width="11.5546875" style="690" customWidth="1"/>
    <col min="4621" max="4623" width="14.6640625" style="690" customWidth="1"/>
    <col min="4624" max="4624" width="31" style="690" customWidth="1"/>
    <col min="4625" max="4625" width="10.33203125" style="690" bestFit="1" customWidth="1"/>
    <col min="4626" max="4864" width="9.109375" style="690"/>
    <col min="4865" max="4865" width="1.6640625" style="690" customWidth="1"/>
    <col min="4866" max="4871" width="0" style="690" hidden="1" customWidth="1"/>
    <col min="4872" max="4872" width="4" style="690" customWidth="1"/>
    <col min="4873" max="4874" width="9.109375" style="690"/>
    <col min="4875" max="4875" width="12.88671875" style="690" bestFit="1" customWidth="1"/>
    <col min="4876" max="4876" width="11.5546875" style="690" customWidth="1"/>
    <col min="4877" max="4879" width="14.6640625" style="690" customWidth="1"/>
    <col min="4880" max="4880" width="31" style="690" customWidth="1"/>
    <col min="4881" max="4881" width="10.33203125" style="690" bestFit="1" customWidth="1"/>
    <col min="4882" max="5120" width="9.109375" style="690"/>
    <col min="5121" max="5121" width="1.6640625" style="690" customWidth="1"/>
    <col min="5122" max="5127" width="0" style="690" hidden="1" customWidth="1"/>
    <col min="5128" max="5128" width="4" style="690" customWidth="1"/>
    <col min="5129" max="5130" width="9.109375" style="690"/>
    <col min="5131" max="5131" width="12.88671875" style="690" bestFit="1" customWidth="1"/>
    <col min="5132" max="5132" width="11.5546875" style="690" customWidth="1"/>
    <col min="5133" max="5135" width="14.6640625" style="690" customWidth="1"/>
    <col min="5136" max="5136" width="31" style="690" customWidth="1"/>
    <col min="5137" max="5137" width="10.33203125" style="690" bestFit="1" customWidth="1"/>
    <col min="5138" max="5376" width="9.109375" style="690"/>
    <col min="5377" max="5377" width="1.6640625" style="690" customWidth="1"/>
    <col min="5378" max="5383" width="0" style="690" hidden="1" customWidth="1"/>
    <col min="5384" max="5384" width="4" style="690" customWidth="1"/>
    <col min="5385" max="5386" width="9.109375" style="690"/>
    <col min="5387" max="5387" width="12.88671875" style="690" bestFit="1" customWidth="1"/>
    <col min="5388" max="5388" width="11.5546875" style="690" customWidth="1"/>
    <col min="5389" max="5391" width="14.6640625" style="690" customWidth="1"/>
    <col min="5392" max="5392" width="31" style="690" customWidth="1"/>
    <col min="5393" max="5393" width="10.33203125" style="690" bestFit="1" customWidth="1"/>
    <col min="5394" max="5632" width="9.109375" style="690"/>
    <col min="5633" max="5633" width="1.6640625" style="690" customWidth="1"/>
    <col min="5634" max="5639" width="0" style="690" hidden="1" customWidth="1"/>
    <col min="5640" max="5640" width="4" style="690" customWidth="1"/>
    <col min="5641" max="5642" width="9.109375" style="690"/>
    <col min="5643" max="5643" width="12.88671875" style="690" bestFit="1" customWidth="1"/>
    <col min="5644" max="5644" width="11.5546875" style="690" customWidth="1"/>
    <col min="5645" max="5647" width="14.6640625" style="690" customWidth="1"/>
    <col min="5648" max="5648" width="31" style="690" customWidth="1"/>
    <col min="5649" max="5649" width="10.33203125" style="690" bestFit="1" customWidth="1"/>
    <col min="5650" max="5888" width="9.109375" style="690"/>
    <col min="5889" max="5889" width="1.6640625" style="690" customWidth="1"/>
    <col min="5890" max="5895" width="0" style="690" hidden="1" customWidth="1"/>
    <col min="5896" max="5896" width="4" style="690" customWidth="1"/>
    <col min="5897" max="5898" width="9.109375" style="690"/>
    <col min="5899" max="5899" width="12.88671875" style="690" bestFit="1" customWidth="1"/>
    <col min="5900" max="5900" width="11.5546875" style="690" customWidth="1"/>
    <col min="5901" max="5903" width="14.6640625" style="690" customWidth="1"/>
    <col min="5904" max="5904" width="31" style="690" customWidth="1"/>
    <col min="5905" max="5905" width="10.33203125" style="690" bestFit="1" customWidth="1"/>
    <col min="5906" max="6144" width="9.109375" style="690"/>
    <col min="6145" max="6145" width="1.6640625" style="690" customWidth="1"/>
    <col min="6146" max="6151" width="0" style="690" hidden="1" customWidth="1"/>
    <col min="6152" max="6152" width="4" style="690" customWidth="1"/>
    <col min="6153" max="6154" width="9.109375" style="690"/>
    <col min="6155" max="6155" width="12.88671875" style="690" bestFit="1" customWidth="1"/>
    <col min="6156" max="6156" width="11.5546875" style="690" customWidth="1"/>
    <col min="6157" max="6159" width="14.6640625" style="690" customWidth="1"/>
    <col min="6160" max="6160" width="31" style="690" customWidth="1"/>
    <col min="6161" max="6161" width="10.33203125" style="690" bestFit="1" customWidth="1"/>
    <col min="6162" max="6400" width="9.109375" style="690"/>
    <col min="6401" max="6401" width="1.6640625" style="690" customWidth="1"/>
    <col min="6402" max="6407" width="0" style="690" hidden="1" customWidth="1"/>
    <col min="6408" max="6408" width="4" style="690" customWidth="1"/>
    <col min="6409" max="6410" width="9.109375" style="690"/>
    <col min="6411" max="6411" width="12.88671875" style="690" bestFit="1" customWidth="1"/>
    <col min="6412" max="6412" width="11.5546875" style="690" customWidth="1"/>
    <col min="6413" max="6415" width="14.6640625" style="690" customWidth="1"/>
    <col min="6416" max="6416" width="31" style="690" customWidth="1"/>
    <col min="6417" max="6417" width="10.33203125" style="690" bestFit="1" customWidth="1"/>
    <col min="6418" max="6656" width="9.109375" style="690"/>
    <col min="6657" max="6657" width="1.6640625" style="690" customWidth="1"/>
    <col min="6658" max="6663" width="0" style="690" hidden="1" customWidth="1"/>
    <col min="6664" max="6664" width="4" style="690" customWidth="1"/>
    <col min="6665" max="6666" width="9.109375" style="690"/>
    <col min="6667" max="6667" width="12.88671875" style="690" bestFit="1" customWidth="1"/>
    <col min="6668" max="6668" width="11.5546875" style="690" customWidth="1"/>
    <col min="6669" max="6671" width="14.6640625" style="690" customWidth="1"/>
    <col min="6672" max="6672" width="31" style="690" customWidth="1"/>
    <col min="6673" max="6673" width="10.33203125" style="690" bestFit="1" customWidth="1"/>
    <col min="6674" max="6912" width="9.109375" style="690"/>
    <col min="6913" max="6913" width="1.6640625" style="690" customWidth="1"/>
    <col min="6914" max="6919" width="0" style="690" hidden="1" customWidth="1"/>
    <col min="6920" max="6920" width="4" style="690" customWidth="1"/>
    <col min="6921" max="6922" width="9.109375" style="690"/>
    <col min="6923" max="6923" width="12.88671875" style="690" bestFit="1" customWidth="1"/>
    <col min="6924" max="6924" width="11.5546875" style="690" customWidth="1"/>
    <col min="6925" max="6927" width="14.6640625" style="690" customWidth="1"/>
    <col min="6928" max="6928" width="31" style="690" customWidth="1"/>
    <col min="6929" max="6929" width="10.33203125" style="690" bestFit="1" customWidth="1"/>
    <col min="6930" max="7168" width="9.109375" style="690"/>
    <col min="7169" max="7169" width="1.6640625" style="690" customWidth="1"/>
    <col min="7170" max="7175" width="0" style="690" hidden="1" customWidth="1"/>
    <col min="7176" max="7176" width="4" style="690" customWidth="1"/>
    <col min="7177" max="7178" width="9.109375" style="690"/>
    <col min="7179" max="7179" width="12.88671875" style="690" bestFit="1" customWidth="1"/>
    <col min="7180" max="7180" width="11.5546875" style="690" customWidth="1"/>
    <col min="7181" max="7183" width="14.6640625" style="690" customWidth="1"/>
    <col min="7184" max="7184" width="31" style="690" customWidth="1"/>
    <col min="7185" max="7185" width="10.33203125" style="690" bestFit="1" customWidth="1"/>
    <col min="7186" max="7424" width="9.109375" style="690"/>
    <col min="7425" max="7425" width="1.6640625" style="690" customWidth="1"/>
    <col min="7426" max="7431" width="0" style="690" hidden="1" customWidth="1"/>
    <col min="7432" max="7432" width="4" style="690" customWidth="1"/>
    <col min="7433" max="7434" width="9.109375" style="690"/>
    <col min="7435" max="7435" width="12.88671875" style="690" bestFit="1" customWidth="1"/>
    <col min="7436" max="7436" width="11.5546875" style="690" customWidth="1"/>
    <col min="7437" max="7439" width="14.6640625" style="690" customWidth="1"/>
    <col min="7440" max="7440" width="31" style="690" customWidth="1"/>
    <col min="7441" max="7441" width="10.33203125" style="690" bestFit="1" customWidth="1"/>
    <col min="7442" max="7680" width="9.109375" style="690"/>
    <col min="7681" max="7681" width="1.6640625" style="690" customWidth="1"/>
    <col min="7682" max="7687" width="0" style="690" hidden="1" customWidth="1"/>
    <col min="7688" max="7688" width="4" style="690" customWidth="1"/>
    <col min="7689" max="7690" width="9.109375" style="690"/>
    <col min="7691" max="7691" width="12.88671875" style="690" bestFit="1" customWidth="1"/>
    <col min="7692" max="7692" width="11.5546875" style="690" customWidth="1"/>
    <col min="7693" max="7695" width="14.6640625" style="690" customWidth="1"/>
    <col min="7696" max="7696" width="31" style="690" customWidth="1"/>
    <col min="7697" max="7697" width="10.33203125" style="690" bestFit="1" customWidth="1"/>
    <col min="7698" max="7936" width="9.109375" style="690"/>
    <col min="7937" max="7937" width="1.6640625" style="690" customWidth="1"/>
    <col min="7938" max="7943" width="0" style="690" hidden="1" customWidth="1"/>
    <col min="7944" max="7944" width="4" style="690" customWidth="1"/>
    <col min="7945" max="7946" width="9.109375" style="690"/>
    <col min="7947" max="7947" width="12.88671875" style="690" bestFit="1" customWidth="1"/>
    <col min="7948" max="7948" width="11.5546875" style="690" customWidth="1"/>
    <col min="7949" max="7951" width="14.6640625" style="690" customWidth="1"/>
    <col min="7952" max="7952" width="31" style="690" customWidth="1"/>
    <col min="7953" max="7953" width="10.33203125" style="690" bestFit="1" customWidth="1"/>
    <col min="7954" max="8192" width="9.109375" style="690"/>
    <col min="8193" max="8193" width="1.6640625" style="690" customWidth="1"/>
    <col min="8194" max="8199" width="0" style="690" hidden="1" customWidth="1"/>
    <col min="8200" max="8200" width="4" style="690" customWidth="1"/>
    <col min="8201" max="8202" width="9.109375" style="690"/>
    <col min="8203" max="8203" width="12.88671875" style="690" bestFit="1" customWidth="1"/>
    <col min="8204" max="8204" width="11.5546875" style="690" customWidth="1"/>
    <col min="8205" max="8207" width="14.6640625" style="690" customWidth="1"/>
    <col min="8208" max="8208" width="31" style="690" customWidth="1"/>
    <col min="8209" max="8209" width="10.33203125" style="690" bestFit="1" customWidth="1"/>
    <col min="8210" max="8448" width="9.109375" style="690"/>
    <col min="8449" max="8449" width="1.6640625" style="690" customWidth="1"/>
    <col min="8450" max="8455" width="0" style="690" hidden="1" customWidth="1"/>
    <col min="8456" max="8456" width="4" style="690" customWidth="1"/>
    <col min="8457" max="8458" width="9.109375" style="690"/>
    <col min="8459" max="8459" width="12.88671875" style="690" bestFit="1" customWidth="1"/>
    <col min="8460" max="8460" width="11.5546875" style="690" customWidth="1"/>
    <col min="8461" max="8463" width="14.6640625" style="690" customWidth="1"/>
    <col min="8464" max="8464" width="31" style="690" customWidth="1"/>
    <col min="8465" max="8465" width="10.33203125" style="690" bestFit="1" customWidth="1"/>
    <col min="8466" max="8704" width="9.109375" style="690"/>
    <col min="8705" max="8705" width="1.6640625" style="690" customWidth="1"/>
    <col min="8706" max="8711" width="0" style="690" hidden="1" customWidth="1"/>
    <col min="8712" max="8712" width="4" style="690" customWidth="1"/>
    <col min="8713" max="8714" width="9.109375" style="690"/>
    <col min="8715" max="8715" width="12.88671875" style="690" bestFit="1" customWidth="1"/>
    <col min="8716" max="8716" width="11.5546875" style="690" customWidth="1"/>
    <col min="8717" max="8719" width="14.6640625" style="690" customWidth="1"/>
    <col min="8720" max="8720" width="31" style="690" customWidth="1"/>
    <col min="8721" max="8721" width="10.33203125" style="690" bestFit="1" customWidth="1"/>
    <col min="8722" max="8960" width="9.109375" style="690"/>
    <col min="8961" max="8961" width="1.6640625" style="690" customWidth="1"/>
    <col min="8962" max="8967" width="0" style="690" hidden="1" customWidth="1"/>
    <col min="8968" max="8968" width="4" style="690" customWidth="1"/>
    <col min="8969" max="8970" width="9.109375" style="690"/>
    <col min="8971" max="8971" width="12.88671875" style="690" bestFit="1" customWidth="1"/>
    <col min="8972" max="8972" width="11.5546875" style="690" customWidth="1"/>
    <col min="8973" max="8975" width="14.6640625" style="690" customWidth="1"/>
    <col min="8976" max="8976" width="31" style="690" customWidth="1"/>
    <col min="8977" max="8977" width="10.33203125" style="690" bestFit="1" customWidth="1"/>
    <col min="8978" max="9216" width="9.109375" style="690"/>
    <col min="9217" max="9217" width="1.6640625" style="690" customWidth="1"/>
    <col min="9218" max="9223" width="0" style="690" hidden="1" customWidth="1"/>
    <col min="9224" max="9224" width="4" style="690" customWidth="1"/>
    <col min="9225" max="9226" width="9.109375" style="690"/>
    <col min="9227" max="9227" width="12.88671875" style="690" bestFit="1" customWidth="1"/>
    <col min="9228" max="9228" width="11.5546875" style="690" customWidth="1"/>
    <col min="9229" max="9231" width="14.6640625" style="690" customWidth="1"/>
    <col min="9232" max="9232" width="31" style="690" customWidth="1"/>
    <col min="9233" max="9233" width="10.33203125" style="690" bestFit="1" customWidth="1"/>
    <col min="9234" max="9472" width="9.109375" style="690"/>
    <col min="9473" max="9473" width="1.6640625" style="690" customWidth="1"/>
    <col min="9474" max="9479" width="0" style="690" hidden="1" customWidth="1"/>
    <col min="9480" max="9480" width="4" style="690" customWidth="1"/>
    <col min="9481" max="9482" width="9.109375" style="690"/>
    <col min="9483" max="9483" width="12.88671875" style="690" bestFit="1" customWidth="1"/>
    <col min="9484" max="9484" width="11.5546875" style="690" customWidth="1"/>
    <col min="9485" max="9487" width="14.6640625" style="690" customWidth="1"/>
    <col min="9488" max="9488" width="31" style="690" customWidth="1"/>
    <col min="9489" max="9489" width="10.33203125" style="690" bestFit="1" customWidth="1"/>
    <col min="9490" max="9728" width="9.109375" style="690"/>
    <col min="9729" max="9729" width="1.6640625" style="690" customWidth="1"/>
    <col min="9730" max="9735" width="0" style="690" hidden="1" customWidth="1"/>
    <col min="9736" max="9736" width="4" style="690" customWidth="1"/>
    <col min="9737" max="9738" width="9.109375" style="690"/>
    <col min="9739" max="9739" width="12.88671875" style="690" bestFit="1" customWidth="1"/>
    <col min="9740" max="9740" width="11.5546875" style="690" customWidth="1"/>
    <col min="9741" max="9743" width="14.6640625" style="690" customWidth="1"/>
    <col min="9744" max="9744" width="31" style="690" customWidth="1"/>
    <col min="9745" max="9745" width="10.33203125" style="690" bestFit="1" customWidth="1"/>
    <col min="9746" max="9984" width="9.109375" style="690"/>
    <col min="9985" max="9985" width="1.6640625" style="690" customWidth="1"/>
    <col min="9986" max="9991" width="0" style="690" hidden="1" customWidth="1"/>
    <col min="9992" max="9992" width="4" style="690" customWidth="1"/>
    <col min="9993" max="9994" width="9.109375" style="690"/>
    <col min="9995" max="9995" width="12.88671875" style="690" bestFit="1" customWidth="1"/>
    <col min="9996" max="9996" width="11.5546875" style="690" customWidth="1"/>
    <col min="9997" max="9999" width="14.6640625" style="690" customWidth="1"/>
    <col min="10000" max="10000" width="31" style="690" customWidth="1"/>
    <col min="10001" max="10001" width="10.33203125" style="690" bestFit="1" customWidth="1"/>
    <col min="10002" max="10240" width="9.109375" style="690"/>
    <col min="10241" max="10241" width="1.6640625" style="690" customWidth="1"/>
    <col min="10242" max="10247" width="0" style="690" hidden="1" customWidth="1"/>
    <col min="10248" max="10248" width="4" style="690" customWidth="1"/>
    <col min="10249" max="10250" width="9.109375" style="690"/>
    <col min="10251" max="10251" width="12.88671875" style="690" bestFit="1" customWidth="1"/>
    <col min="10252" max="10252" width="11.5546875" style="690" customWidth="1"/>
    <col min="10253" max="10255" width="14.6640625" style="690" customWidth="1"/>
    <col min="10256" max="10256" width="31" style="690" customWidth="1"/>
    <col min="10257" max="10257" width="10.33203125" style="690" bestFit="1" customWidth="1"/>
    <col min="10258" max="10496" width="9.109375" style="690"/>
    <col min="10497" max="10497" width="1.6640625" style="690" customWidth="1"/>
    <col min="10498" max="10503" width="0" style="690" hidden="1" customWidth="1"/>
    <col min="10504" max="10504" width="4" style="690" customWidth="1"/>
    <col min="10505" max="10506" width="9.109375" style="690"/>
    <col min="10507" max="10507" width="12.88671875" style="690" bestFit="1" customWidth="1"/>
    <col min="10508" max="10508" width="11.5546875" style="690" customWidth="1"/>
    <col min="10509" max="10511" width="14.6640625" style="690" customWidth="1"/>
    <col min="10512" max="10512" width="31" style="690" customWidth="1"/>
    <col min="10513" max="10513" width="10.33203125" style="690" bestFit="1" customWidth="1"/>
    <col min="10514" max="10752" width="9.109375" style="690"/>
    <col min="10753" max="10753" width="1.6640625" style="690" customWidth="1"/>
    <col min="10754" max="10759" width="0" style="690" hidden="1" customWidth="1"/>
    <col min="10760" max="10760" width="4" style="690" customWidth="1"/>
    <col min="10761" max="10762" width="9.109375" style="690"/>
    <col min="10763" max="10763" width="12.88671875" style="690" bestFit="1" customWidth="1"/>
    <col min="10764" max="10764" width="11.5546875" style="690" customWidth="1"/>
    <col min="10765" max="10767" width="14.6640625" style="690" customWidth="1"/>
    <col min="10768" max="10768" width="31" style="690" customWidth="1"/>
    <col min="10769" max="10769" width="10.33203125" style="690" bestFit="1" customWidth="1"/>
    <col min="10770" max="11008" width="9.109375" style="690"/>
    <col min="11009" max="11009" width="1.6640625" style="690" customWidth="1"/>
    <col min="11010" max="11015" width="0" style="690" hidden="1" customWidth="1"/>
    <col min="11016" max="11016" width="4" style="690" customWidth="1"/>
    <col min="11017" max="11018" width="9.109375" style="690"/>
    <col min="11019" max="11019" width="12.88671875" style="690" bestFit="1" customWidth="1"/>
    <col min="11020" max="11020" width="11.5546875" style="690" customWidth="1"/>
    <col min="11021" max="11023" width="14.6640625" style="690" customWidth="1"/>
    <col min="11024" max="11024" width="31" style="690" customWidth="1"/>
    <col min="11025" max="11025" width="10.33203125" style="690" bestFit="1" customWidth="1"/>
    <col min="11026" max="11264" width="9.109375" style="690"/>
    <col min="11265" max="11265" width="1.6640625" style="690" customWidth="1"/>
    <col min="11266" max="11271" width="0" style="690" hidden="1" customWidth="1"/>
    <col min="11272" max="11272" width="4" style="690" customWidth="1"/>
    <col min="11273" max="11274" width="9.109375" style="690"/>
    <col min="11275" max="11275" width="12.88671875" style="690" bestFit="1" customWidth="1"/>
    <col min="11276" max="11276" width="11.5546875" style="690" customWidth="1"/>
    <col min="11277" max="11279" width="14.6640625" style="690" customWidth="1"/>
    <col min="11280" max="11280" width="31" style="690" customWidth="1"/>
    <col min="11281" max="11281" width="10.33203125" style="690" bestFit="1" customWidth="1"/>
    <col min="11282" max="11520" width="9.109375" style="690"/>
    <col min="11521" max="11521" width="1.6640625" style="690" customWidth="1"/>
    <col min="11522" max="11527" width="0" style="690" hidden="1" customWidth="1"/>
    <col min="11528" max="11528" width="4" style="690" customWidth="1"/>
    <col min="11529" max="11530" width="9.109375" style="690"/>
    <col min="11531" max="11531" width="12.88671875" style="690" bestFit="1" customWidth="1"/>
    <col min="11532" max="11532" width="11.5546875" style="690" customWidth="1"/>
    <col min="11533" max="11535" width="14.6640625" style="690" customWidth="1"/>
    <col min="11536" max="11536" width="31" style="690" customWidth="1"/>
    <col min="11537" max="11537" width="10.33203125" style="690" bestFit="1" customWidth="1"/>
    <col min="11538" max="11776" width="9.109375" style="690"/>
    <col min="11777" max="11777" width="1.6640625" style="690" customWidth="1"/>
    <col min="11778" max="11783" width="0" style="690" hidden="1" customWidth="1"/>
    <col min="11784" max="11784" width="4" style="690" customWidth="1"/>
    <col min="11785" max="11786" width="9.109375" style="690"/>
    <col min="11787" max="11787" width="12.88671875" style="690" bestFit="1" customWidth="1"/>
    <col min="11788" max="11788" width="11.5546875" style="690" customWidth="1"/>
    <col min="11789" max="11791" width="14.6640625" style="690" customWidth="1"/>
    <col min="11792" max="11792" width="31" style="690" customWidth="1"/>
    <col min="11793" max="11793" width="10.33203125" style="690" bestFit="1" customWidth="1"/>
    <col min="11794" max="12032" width="9.109375" style="690"/>
    <col min="12033" max="12033" width="1.6640625" style="690" customWidth="1"/>
    <col min="12034" max="12039" width="0" style="690" hidden="1" customWidth="1"/>
    <col min="12040" max="12040" width="4" style="690" customWidth="1"/>
    <col min="12041" max="12042" width="9.109375" style="690"/>
    <col min="12043" max="12043" width="12.88671875" style="690" bestFit="1" customWidth="1"/>
    <col min="12044" max="12044" width="11.5546875" style="690" customWidth="1"/>
    <col min="12045" max="12047" width="14.6640625" style="690" customWidth="1"/>
    <col min="12048" max="12048" width="31" style="690" customWidth="1"/>
    <col min="12049" max="12049" width="10.33203125" style="690" bestFit="1" customWidth="1"/>
    <col min="12050" max="12288" width="9.109375" style="690"/>
    <col min="12289" max="12289" width="1.6640625" style="690" customWidth="1"/>
    <col min="12290" max="12295" width="0" style="690" hidden="1" customWidth="1"/>
    <col min="12296" max="12296" width="4" style="690" customWidth="1"/>
    <col min="12297" max="12298" width="9.109375" style="690"/>
    <col min="12299" max="12299" width="12.88671875" style="690" bestFit="1" customWidth="1"/>
    <col min="12300" max="12300" width="11.5546875" style="690" customWidth="1"/>
    <col min="12301" max="12303" width="14.6640625" style="690" customWidth="1"/>
    <col min="12304" max="12304" width="31" style="690" customWidth="1"/>
    <col min="12305" max="12305" width="10.33203125" style="690" bestFit="1" customWidth="1"/>
    <col min="12306" max="12544" width="9.109375" style="690"/>
    <col min="12545" max="12545" width="1.6640625" style="690" customWidth="1"/>
    <col min="12546" max="12551" width="0" style="690" hidden="1" customWidth="1"/>
    <col min="12552" max="12552" width="4" style="690" customWidth="1"/>
    <col min="12553" max="12554" width="9.109375" style="690"/>
    <col min="12555" max="12555" width="12.88671875" style="690" bestFit="1" customWidth="1"/>
    <col min="12556" max="12556" width="11.5546875" style="690" customWidth="1"/>
    <col min="12557" max="12559" width="14.6640625" style="690" customWidth="1"/>
    <col min="12560" max="12560" width="31" style="690" customWidth="1"/>
    <col min="12561" max="12561" width="10.33203125" style="690" bestFit="1" customWidth="1"/>
    <col min="12562" max="12800" width="9.109375" style="690"/>
    <col min="12801" max="12801" width="1.6640625" style="690" customWidth="1"/>
    <col min="12802" max="12807" width="0" style="690" hidden="1" customWidth="1"/>
    <col min="12808" max="12808" width="4" style="690" customWidth="1"/>
    <col min="12809" max="12810" width="9.109375" style="690"/>
    <col min="12811" max="12811" width="12.88671875" style="690" bestFit="1" customWidth="1"/>
    <col min="12812" max="12812" width="11.5546875" style="690" customWidth="1"/>
    <col min="12813" max="12815" width="14.6640625" style="690" customWidth="1"/>
    <col min="12816" max="12816" width="31" style="690" customWidth="1"/>
    <col min="12817" max="12817" width="10.33203125" style="690" bestFit="1" customWidth="1"/>
    <col min="12818" max="13056" width="9.109375" style="690"/>
    <col min="13057" max="13057" width="1.6640625" style="690" customWidth="1"/>
    <col min="13058" max="13063" width="0" style="690" hidden="1" customWidth="1"/>
    <col min="13064" max="13064" width="4" style="690" customWidth="1"/>
    <col min="13065" max="13066" width="9.109375" style="690"/>
    <col min="13067" max="13067" width="12.88671875" style="690" bestFit="1" customWidth="1"/>
    <col min="13068" max="13068" width="11.5546875" style="690" customWidth="1"/>
    <col min="13069" max="13071" width="14.6640625" style="690" customWidth="1"/>
    <col min="13072" max="13072" width="31" style="690" customWidth="1"/>
    <col min="13073" max="13073" width="10.33203125" style="690" bestFit="1" customWidth="1"/>
    <col min="13074" max="13312" width="9.109375" style="690"/>
    <col min="13313" max="13313" width="1.6640625" style="690" customWidth="1"/>
    <col min="13314" max="13319" width="0" style="690" hidden="1" customWidth="1"/>
    <col min="13320" max="13320" width="4" style="690" customWidth="1"/>
    <col min="13321" max="13322" width="9.109375" style="690"/>
    <col min="13323" max="13323" width="12.88671875" style="690" bestFit="1" customWidth="1"/>
    <col min="13324" max="13324" width="11.5546875" style="690" customWidth="1"/>
    <col min="13325" max="13327" width="14.6640625" style="690" customWidth="1"/>
    <col min="13328" max="13328" width="31" style="690" customWidth="1"/>
    <col min="13329" max="13329" width="10.33203125" style="690" bestFit="1" customWidth="1"/>
    <col min="13330" max="13568" width="9.109375" style="690"/>
    <col min="13569" max="13569" width="1.6640625" style="690" customWidth="1"/>
    <col min="13570" max="13575" width="0" style="690" hidden="1" customWidth="1"/>
    <col min="13576" max="13576" width="4" style="690" customWidth="1"/>
    <col min="13577" max="13578" width="9.109375" style="690"/>
    <col min="13579" max="13579" width="12.88671875" style="690" bestFit="1" customWidth="1"/>
    <col min="13580" max="13580" width="11.5546875" style="690" customWidth="1"/>
    <col min="13581" max="13583" width="14.6640625" style="690" customWidth="1"/>
    <col min="13584" max="13584" width="31" style="690" customWidth="1"/>
    <col min="13585" max="13585" width="10.33203125" style="690" bestFit="1" customWidth="1"/>
    <col min="13586" max="13824" width="9.109375" style="690"/>
    <col min="13825" max="13825" width="1.6640625" style="690" customWidth="1"/>
    <col min="13826" max="13831" width="0" style="690" hidden="1" customWidth="1"/>
    <col min="13832" max="13832" width="4" style="690" customWidth="1"/>
    <col min="13833" max="13834" width="9.109375" style="690"/>
    <col min="13835" max="13835" width="12.88671875" style="690" bestFit="1" customWidth="1"/>
    <col min="13836" max="13836" width="11.5546875" style="690" customWidth="1"/>
    <col min="13837" max="13839" width="14.6640625" style="690" customWidth="1"/>
    <col min="13840" max="13840" width="31" style="690" customWidth="1"/>
    <col min="13841" max="13841" width="10.33203125" style="690" bestFit="1" customWidth="1"/>
    <col min="13842" max="14080" width="9.109375" style="690"/>
    <col min="14081" max="14081" width="1.6640625" style="690" customWidth="1"/>
    <col min="14082" max="14087" width="0" style="690" hidden="1" customWidth="1"/>
    <col min="14088" max="14088" width="4" style="690" customWidth="1"/>
    <col min="14089" max="14090" width="9.109375" style="690"/>
    <col min="14091" max="14091" width="12.88671875" style="690" bestFit="1" customWidth="1"/>
    <col min="14092" max="14092" width="11.5546875" style="690" customWidth="1"/>
    <col min="14093" max="14095" width="14.6640625" style="690" customWidth="1"/>
    <col min="14096" max="14096" width="31" style="690" customWidth="1"/>
    <col min="14097" max="14097" width="10.33203125" style="690" bestFit="1" customWidth="1"/>
    <col min="14098" max="14336" width="9.109375" style="690"/>
    <col min="14337" max="14337" width="1.6640625" style="690" customWidth="1"/>
    <col min="14338" max="14343" width="0" style="690" hidden="1" customWidth="1"/>
    <col min="14344" max="14344" width="4" style="690" customWidth="1"/>
    <col min="14345" max="14346" width="9.109375" style="690"/>
    <col min="14347" max="14347" width="12.88671875" style="690" bestFit="1" customWidth="1"/>
    <col min="14348" max="14348" width="11.5546875" style="690" customWidth="1"/>
    <col min="14349" max="14351" width="14.6640625" style="690" customWidth="1"/>
    <col min="14352" max="14352" width="31" style="690" customWidth="1"/>
    <col min="14353" max="14353" width="10.33203125" style="690" bestFit="1" customWidth="1"/>
    <col min="14354" max="14592" width="9.109375" style="690"/>
    <col min="14593" max="14593" width="1.6640625" style="690" customWidth="1"/>
    <col min="14594" max="14599" width="0" style="690" hidden="1" customWidth="1"/>
    <col min="14600" max="14600" width="4" style="690" customWidth="1"/>
    <col min="14601" max="14602" width="9.109375" style="690"/>
    <col min="14603" max="14603" width="12.88671875" style="690" bestFit="1" customWidth="1"/>
    <col min="14604" max="14604" width="11.5546875" style="690" customWidth="1"/>
    <col min="14605" max="14607" width="14.6640625" style="690" customWidth="1"/>
    <col min="14608" max="14608" width="31" style="690" customWidth="1"/>
    <col min="14609" max="14609" width="10.33203125" style="690" bestFit="1" customWidth="1"/>
    <col min="14610" max="14848" width="9.109375" style="690"/>
    <col min="14849" max="14849" width="1.6640625" style="690" customWidth="1"/>
    <col min="14850" max="14855" width="0" style="690" hidden="1" customWidth="1"/>
    <col min="14856" max="14856" width="4" style="690" customWidth="1"/>
    <col min="14857" max="14858" width="9.109375" style="690"/>
    <col min="14859" max="14859" width="12.88671875" style="690" bestFit="1" customWidth="1"/>
    <col min="14860" max="14860" width="11.5546875" style="690" customWidth="1"/>
    <col min="14861" max="14863" width="14.6640625" style="690" customWidth="1"/>
    <col min="14864" max="14864" width="31" style="690" customWidth="1"/>
    <col min="14865" max="14865" width="10.33203125" style="690" bestFit="1" customWidth="1"/>
    <col min="14866" max="15104" width="9.109375" style="690"/>
    <col min="15105" max="15105" width="1.6640625" style="690" customWidth="1"/>
    <col min="15106" max="15111" width="0" style="690" hidden="1" customWidth="1"/>
    <col min="15112" max="15112" width="4" style="690" customWidth="1"/>
    <col min="15113" max="15114" width="9.109375" style="690"/>
    <col min="15115" max="15115" width="12.88671875" style="690" bestFit="1" customWidth="1"/>
    <col min="15116" max="15116" width="11.5546875" style="690" customWidth="1"/>
    <col min="15117" max="15119" width="14.6640625" style="690" customWidth="1"/>
    <col min="15120" max="15120" width="31" style="690" customWidth="1"/>
    <col min="15121" max="15121" width="10.33203125" style="690" bestFit="1" customWidth="1"/>
    <col min="15122" max="15360" width="9.109375" style="690"/>
    <col min="15361" max="15361" width="1.6640625" style="690" customWidth="1"/>
    <col min="15362" max="15367" width="0" style="690" hidden="1" customWidth="1"/>
    <col min="15368" max="15368" width="4" style="690" customWidth="1"/>
    <col min="15369" max="15370" width="9.109375" style="690"/>
    <col min="15371" max="15371" width="12.88671875" style="690" bestFit="1" customWidth="1"/>
    <col min="15372" max="15372" width="11.5546875" style="690" customWidth="1"/>
    <col min="15373" max="15375" width="14.6640625" style="690" customWidth="1"/>
    <col min="15376" max="15376" width="31" style="690" customWidth="1"/>
    <col min="15377" max="15377" width="10.33203125" style="690" bestFit="1" customWidth="1"/>
    <col min="15378" max="15616" width="9.109375" style="690"/>
    <col min="15617" max="15617" width="1.6640625" style="690" customWidth="1"/>
    <col min="15618" max="15623" width="0" style="690" hidden="1" customWidth="1"/>
    <col min="15624" max="15624" width="4" style="690" customWidth="1"/>
    <col min="15625" max="15626" width="9.109375" style="690"/>
    <col min="15627" max="15627" width="12.88671875" style="690" bestFit="1" customWidth="1"/>
    <col min="15628" max="15628" width="11.5546875" style="690" customWidth="1"/>
    <col min="15629" max="15631" width="14.6640625" style="690" customWidth="1"/>
    <col min="15632" max="15632" width="31" style="690" customWidth="1"/>
    <col min="15633" max="15633" width="10.33203125" style="690" bestFit="1" customWidth="1"/>
    <col min="15634" max="15872" width="9.109375" style="690"/>
    <col min="15873" max="15873" width="1.6640625" style="690" customWidth="1"/>
    <col min="15874" max="15879" width="0" style="690" hidden="1" customWidth="1"/>
    <col min="15880" max="15880" width="4" style="690" customWidth="1"/>
    <col min="15881" max="15882" width="9.109375" style="690"/>
    <col min="15883" max="15883" width="12.88671875" style="690" bestFit="1" customWidth="1"/>
    <col min="15884" max="15884" width="11.5546875" style="690" customWidth="1"/>
    <col min="15885" max="15887" width="14.6640625" style="690" customWidth="1"/>
    <col min="15888" max="15888" width="31" style="690" customWidth="1"/>
    <col min="15889" max="15889" width="10.33203125" style="690" bestFit="1" customWidth="1"/>
    <col min="15890" max="16128" width="9.109375" style="690"/>
    <col min="16129" max="16129" width="1.6640625" style="690" customWidth="1"/>
    <col min="16130" max="16135" width="0" style="690" hidden="1" customWidth="1"/>
    <col min="16136" max="16136" width="4" style="690" customWidth="1"/>
    <col min="16137" max="16138" width="9.109375" style="690"/>
    <col min="16139" max="16139" width="12.88671875" style="690" bestFit="1" customWidth="1"/>
    <col min="16140" max="16140" width="11.5546875" style="690" customWidth="1"/>
    <col min="16141" max="16143" width="14.6640625" style="690" customWidth="1"/>
    <col min="16144" max="16144" width="31" style="690" customWidth="1"/>
    <col min="16145" max="16145" width="10.33203125" style="690" bestFit="1" customWidth="1"/>
    <col min="16146" max="16384" width="9.109375" style="690"/>
  </cols>
  <sheetData>
    <row r="2" spans="2:16" x14ac:dyDescent="0.25">
      <c r="C2" s="691"/>
      <c r="D2" s="691"/>
      <c r="E2" s="691"/>
      <c r="F2" s="691"/>
      <c r="G2" s="691"/>
      <c r="H2" s="691"/>
      <c r="I2" s="691" t="s">
        <v>113</v>
      </c>
      <c r="J2" s="691"/>
      <c r="K2" s="691"/>
      <c r="L2" s="691"/>
      <c r="M2" s="691"/>
    </row>
    <row r="4" spans="2:16" x14ac:dyDescent="0.25">
      <c r="C4" s="691"/>
      <c r="D4" s="691"/>
      <c r="E4" s="691"/>
      <c r="F4" s="691"/>
      <c r="G4" s="691"/>
      <c r="H4" s="691"/>
      <c r="I4" s="691" t="s">
        <v>587</v>
      </c>
      <c r="J4" s="691"/>
      <c r="K4" s="691"/>
      <c r="L4" s="691"/>
      <c r="M4" s="691"/>
    </row>
    <row r="6" spans="2:16" x14ac:dyDescent="0.25">
      <c r="B6" s="797" t="s">
        <v>127</v>
      </c>
      <c r="C6" s="797"/>
      <c r="D6" s="797"/>
      <c r="E6" s="797"/>
      <c r="F6" s="797"/>
      <c r="G6" s="797"/>
      <c r="I6" s="693" t="s">
        <v>128</v>
      </c>
      <c r="J6" s="693"/>
      <c r="K6" s="693"/>
      <c r="L6" s="693"/>
      <c r="M6" s="692" t="s">
        <v>129</v>
      </c>
      <c r="N6" s="692" t="s">
        <v>130</v>
      </c>
      <c r="O6" s="692" t="s">
        <v>131</v>
      </c>
    </row>
    <row r="8" spans="2:16" x14ac:dyDescent="0.25">
      <c r="B8" s="691" t="s">
        <v>132</v>
      </c>
      <c r="C8" s="691"/>
      <c r="D8" s="691"/>
      <c r="E8" s="691"/>
      <c r="F8" s="694">
        <v>-26726</v>
      </c>
      <c r="G8" s="694">
        <v>-26726</v>
      </c>
      <c r="I8" s="691" t="s">
        <v>588</v>
      </c>
      <c r="J8" s="691"/>
      <c r="K8" s="691"/>
      <c r="L8" s="691"/>
      <c r="M8" s="694">
        <v>17996.68</v>
      </c>
      <c r="N8" s="694">
        <f>838411.68+0.72</f>
        <v>838412.4</v>
      </c>
      <c r="O8" s="695">
        <f>SUM(M8:N8)</f>
        <v>856409.08000000007</v>
      </c>
      <c r="P8" s="696"/>
    </row>
    <row r="9" spans="2:16" x14ac:dyDescent="0.25">
      <c r="F9" s="697"/>
      <c r="G9" s="697"/>
      <c r="M9" s="697"/>
      <c r="N9" s="697"/>
      <c r="O9" s="695"/>
    </row>
    <row r="10" spans="2:16" x14ac:dyDescent="0.25">
      <c r="B10" s="698" t="s">
        <v>133</v>
      </c>
      <c r="E10" s="699">
        <v>0.42</v>
      </c>
      <c r="F10" s="700">
        <v>6444</v>
      </c>
      <c r="G10" s="700">
        <v>6444</v>
      </c>
      <c r="I10" s="691" t="s">
        <v>610</v>
      </c>
      <c r="L10" s="701"/>
      <c r="M10" s="695">
        <v>197472</v>
      </c>
      <c r="N10" s="695">
        <v>329076</v>
      </c>
      <c r="O10" s="695">
        <f>SUM(M10:N10)</f>
        <v>526548</v>
      </c>
      <c r="P10" s="697"/>
    </row>
    <row r="11" spans="2:16" x14ac:dyDescent="0.25">
      <c r="B11" s="698" t="s">
        <v>134</v>
      </c>
      <c r="E11" s="699">
        <v>0.42</v>
      </c>
      <c r="F11" s="700">
        <v>6444</v>
      </c>
      <c r="G11" s="700">
        <v>6444</v>
      </c>
      <c r="I11" s="698"/>
      <c r="L11" s="699"/>
      <c r="M11" s="700"/>
      <c r="N11" s="700"/>
      <c r="O11" s="695"/>
      <c r="P11" s="697"/>
    </row>
    <row r="12" spans="2:16" x14ac:dyDescent="0.25">
      <c r="B12" s="698" t="s">
        <v>135</v>
      </c>
      <c r="E12" s="699">
        <v>0.42</v>
      </c>
      <c r="F12" s="700">
        <v>6444</v>
      </c>
      <c r="G12" s="700">
        <v>6444</v>
      </c>
      <c r="I12" s="691" t="s">
        <v>611</v>
      </c>
      <c r="L12" s="701"/>
      <c r="M12" s="694">
        <f>-'[3]Capital 2025 Budget..'!E33</f>
        <v>-256702.6</v>
      </c>
      <c r="N12" s="694">
        <f>-'[3]Major 2025 Budget..'!E14</f>
        <v>-373372</v>
      </c>
      <c r="O12" s="695">
        <f>SUM(M12:N12)</f>
        <v>-630074.6</v>
      </c>
    </row>
    <row r="13" spans="2:16" ht="13.8" thickBot="1" x14ac:dyDescent="0.3">
      <c r="B13" s="698" t="s">
        <v>136</v>
      </c>
      <c r="E13" s="699">
        <v>0.42</v>
      </c>
      <c r="F13" s="700">
        <v>6444</v>
      </c>
      <c r="G13" s="700">
        <v>6444</v>
      </c>
      <c r="I13" s="698"/>
      <c r="L13" s="699"/>
      <c r="M13" s="700"/>
      <c r="N13" s="697"/>
      <c r="O13" s="697"/>
    </row>
    <row r="14" spans="2:16" ht="14.4" thickTop="1" thickBot="1" x14ac:dyDescent="0.3">
      <c r="B14" s="698" t="s">
        <v>137</v>
      </c>
      <c r="E14" s="699">
        <v>0.42</v>
      </c>
      <c r="F14" s="700">
        <v>6444</v>
      </c>
      <c r="G14" s="700">
        <v>6444</v>
      </c>
      <c r="I14" s="702" t="s">
        <v>612</v>
      </c>
      <c r="J14" s="702"/>
      <c r="K14" s="702"/>
      <c r="L14" s="702"/>
      <c r="M14" s="703">
        <f>SUM(M8:M12)</f>
        <v>-41233.920000000013</v>
      </c>
      <c r="N14" s="703">
        <f>SUM(N8:N12)</f>
        <v>794116.39999999991</v>
      </c>
      <c r="O14" s="703">
        <f>SUM(M14:N14)</f>
        <v>752882.47999999986</v>
      </c>
      <c r="P14" s="704"/>
    </row>
    <row r="15" spans="2:16" ht="13.8" thickTop="1" x14ac:dyDescent="0.25">
      <c r="B15" s="698" t="s">
        <v>138</v>
      </c>
      <c r="E15" s="699">
        <v>0.42</v>
      </c>
      <c r="F15" s="700">
        <v>6444</v>
      </c>
      <c r="G15" s="700">
        <v>6444</v>
      </c>
      <c r="I15" s="698"/>
      <c r="L15" s="699"/>
      <c r="M15" s="700"/>
      <c r="N15" s="697"/>
      <c r="O15" s="697"/>
    </row>
    <row r="16" spans="2:16" x14ac:dyDescent="0.25">
      <c r="B16" s="698"/>
      <c r="E16" s="699"/>
      <c r="F16" s="700"/>
      <c r="G16" s="700"/>
      <c r="I16" s="698"/>
      <c r="L16" s="699"/>
      <c r="M16" s="700"/>
      <c r="N16" s="697"/>
      <c r="O16" s="697"/>
    </row>
    <row r="17" spans="2:15" x14ac:dyDescent="0.25">
      <c r="B17" s="698"/>
      <c r="E17" s="699"/>
      <c r="F17" s="700"/>
      <c r="G17" s="700"/>
      <c r="I17" s="698"/>
      <c r="L17" s="699"/>
      <c r="M17" s="700"/>
      <c r="N17" s="697"/>
      <c r="O17" s="697"/>
    </row>
    <row r="19" spans="2:15" ht="17.399999999999999" x14ac:dyDescent="0.3">
      <c r="O19" s="705"/>
    </row>
    <row r="23" spans="2:15" x14ac:dyDescent="0.25">
      <c r="M23" s="697"/>
      <c r="O23" s="697"/>
    </row>
    <row r="24" spans="2:15" x14ac:dyDescent="0.25">
      <c r="M24" s="697"/>
      <c r="N24" s="697"/>
      <c r="O24" s="697"/>
    </row>
    <row r="25" spans="2:15" x14ac:dyDescent="0.25">
      <c r="M25" s="697"/>
      <c r="N25" s="697"/>
      <c r="O25" s="697"/>
    </row>
    <row r="26" spans="2:15" x14ac:dyDescent="0.25">
      <c r="M26" s="697"/>
      <c r="N26" s="697"/>
      <c r="O26" s="697"/>
    </row>
    <row r="40" spans="15:16" ht="17.399999999999999" x14ac:dyDescent="0.3">
      <c r="O40" s="705"/>
      <c r="P40" s="706"/>
    </row>
  </sheetData>
  <mergeCells count="1">
    <mergeCell ref="B6:G6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F147A-CDC9-4B16-B893-0FEF241B42E5}">
  <sheetPr>
    <tabColor rgb="FFFFFF00"/>
  </sheetPr>
  <dimension ref="B2:J30"/>
  <sheetViews>
    <sheetView workbookViewId="0">
      <selection activeCell="G17" sqref="G17"/>
    </sheetView>
  </sheetViews>
  <sheetFormatPr defaultRowHeight="13.2" x14ac:dyDescent="0.25"/>
  <cols>
    <col min="1" max="1" width="3.44140625" style="313" customWidth="1"/>
    <col min="2" max="2" width="56.6640625" style="313" customWidth="1"/>
    <col min="3" max="3" width="16.44140625" style="313" bestFit="1" customWidth="1"/>
    <col min="4" max="4" width="13.44140625" style="313" customWidth="1"/>
    <col min="5" max="5" width="16.33203125" style="313" customWidth="1"/>
    <col min="6" max="6" width="25.33203125" style="313" bestFit="1" customWidth="1"/>
    <col min="7" max="16384" width="8.88671875" style="313"/>
  </cols>
  <sheetData>
    <row r="2" spans="2:10" ht="16.95" customHeight="1" thickBot="1" x14ac:dyDescent="0.35">
      <c r="B2" s="738" t="s">
        <v>638</v>
      </c>
    </row>
    <row r="3" spans="2:10" ht="16.95" customHeight="1" thickBot="1" x14ac:dyDescent="0.3">
      <c r="B3" s="725" t="s">
        <v>625</v>
      </c>
      <c r="C3" s="723" t="s">
        <v>637</v>
      </c>
      <c r="D3" s="724" t="s">
        <v>623</v>
      </c>
      <c r="E3" s="723" t="s">
        <v>622</v>
      </c>
    </row>
    <row r="4" spans="2:10" ht="16.95" customHeight="1" x14ac:dyDescent="0.25">
      <c r="B4" s="733" t="s">
        <v>636</v>
      </c>
      <c r="C4" s="747">
        <v>40</v>
      </c>
      <c r="D4" s="750">
        <f>681*1.45</f>
        <v>987.44999999999993</v>
      </c>
      <c r="E4" s="731">
        <f t="shared" ref="E4:E9" si="0">C4*D4</f>
        <v>39498</v>
      </c>
    </row>
    <row r="5" spans="2:10" ht="16.95" customHeight="1" x14ac:dyDescent="0.25">
      <c r="B5" s="733" t="s">
        <v>635</v>
      </c>
      <c r="C5" s="747">
        <v>50</v>
      </c>
      <c r="D5" s="746">
        <f>130*1.45</f>
        <v>188.5</v>
      </c>
      <c r="E5" s="731">
        <f t="shared" si="0"/>
        <v>9425</v>
      </c>
    </row>
    <row r="6" spans="2:10" ht="16.95" customHeight="1" x14ac:dyDescent="0.25">
      <c r="B6" s="749" t="s">
        <v>634</v>
      </c>
      <c r="C6" s="748">
        <v>30</v>
      </c>
      <c r="D6" s="746">
        <f>271*1.45</f>
        <v>392.95</v>
      </c>
      <c r="E6" s="731">
        <f t="shared" si="0"/>
        <v>11788.5</v>
      </c>
    </row>
    <row r="7" spans="2:10" ht="16.95" customHeight="1" x14ac:dyDescent="0.25">
      <c r="B7" s="733" t="s">
        <v>633</v>
      </c>
      <c r="C7" s="747">
        <v>120</v>
      </c>
      <c r="D7" s="746">
        <f>497*1.45</f>
        <v>720.65</v>
      </c>
      <c r="E7" s="731">
        <f t="shared" si="0"/>
        <v>86478</v>
      </c>
    </row>
    <row r="8" spans="2:10" ht="16.95" customHeight="1" x14ac:dyDescent="0.25">
      <c r="B8" s="745" t="s">
        <v>632</v>
      </c>
      <c r="C8" s="744">
        <v>120</v>
      </c>
      <c r="D8" s="735">
        <f>76.25*1.45</f>
        <v>110.5625</v>
      </c>
      <c r="E8" s="743">
        <f t="shared" si="0"/>
        <v>13267.5</v>
      </c>
      <c r="F8" s="798"/>
      <c r="G8" s="798"/>
      <c r="H8" s="798"/>
      <c r="I8" s="798"/>
      <c r="J8" s="798"/>
    </row>
    <row r="9" spans="2:10" ht="16.95" customHeight="1" x14ac:dyDescent="0.25">
      <c r="B9" s="733" t="s">
        <v>628</v>
      </c>
      <c r="C9" s="719">
        <v>8</v>
      </c>
      <c r="D9" s="732">
        <f>250*1.45</f>
        <v>362.5</v>
      </c>
      <c r="E9" s="731">
        <f t="shared" si="0"/>
        <v>2900</v>
      </c>
    </row>
    <row r="10" spans="2:10" ht="16.95" customHeight="1" thickBot="1" x14ac:dyDescent="0.3">
      <c r="B10" s="742" t="s">
        <v>631</v>
      </c>
      <c r="C10" s="741"/>
      <c r="D10" s="740"/>
      <c r="E10" s="731">
        <v>1643</v>
      </c>
      <c r="F10" s="709"/>
    </row>
    <row r="11" spans="2:10" ht="16.95" customHeight="1" thickBot="1" x14ac:dyDescent="0.3">
      <c r="B11" s="713" t="s">
        <v>617</v>
      </c>
      <c r="C11" s="712"/>
      <c r="D11" s="739"/>
      <c r="E11" s="710">
        <f>SUM(E4:E10)</f>
        <v>165000</v>
      </c>
    </row>
    <row r="12" spans="2:10" ht="16.95" customHeight="1" x14ac:dyDescent="0.25"/>
    <row r="13" spans="2:10" ht="16.95" customHeight="1" thickBot="1" x14ac:dyDescent="0.35">
      <c r="B13" s="738" t="s">
        <v>630</v>
      </c>
    </row>
    <row r="14" spans="2:10" ht="16.95" customHeight="1" thickBot="1" x14ac:dyDescent="0.3">
      <c r="B14" s="725" t="s">
        <v>625</v>
      </c>
      <c r="C14" s="723" t="s">
        <v>624</v>
      </c>
      <c r="D14" s="724" t="s">
        <v>623</v>
      </c>
      <c r="E14" s="723" t="s">
        <v>622</v>
      </c>
    </row>
    <row r="15" spans="2:10" ht="16.95" customHeight="1" x14ac:dyDescent="0.25">
      <c r="B15" s="737" t="s">
        <v>629</v>
      </c>
      <c r="C15" s="736">
        <v>10</v>
      </c>
      <c r="D15" s="735">
        <f>12.95*1.55</f>
        <v>20.072499999999998</v>
      </c>
      <c r="E15" s="734">
        <f>C15*D15</f>
        <v>200.72499999999997</v>
      </c>
    </row>
    <row r="16" spans="2:10" ht="16.95" customHeight="1" x14ac:dyDescent="0.25">
      <c r="B16" s="733" t="s">
        <v>628</v>
      </c>
      <c r="C16" s="719">
        <v>20</v>
      </c>
      <c r="D16" s="732">
        <f>135*1.45</f>
        <v>195.75</v>
      </c>
      <c r="E16" s="731">
        <f>C16*D16</f>
        <v>3915</v>
      </c>
    </row>
    <row r="17" spans="2:6" ht="16.95" customHeight="1" thickBot="1" x14ac:dyDescent="0.3">
      <c r="B17" s="730" t="s">
        <v>627</v>
      </c>
      <c r="C17" s="729">
        <v>30</v>
      </c>
      <c r="D17" s="728">
        <v>175</v>
      </c>
      <c r="E17" s="727">
        <f>C17*D17</f>
        <v>5250</v>
      </c>
    </row>
    <row r="18" spans="2:6" ht="16.95" customHeight="1" thickBot="1" x14ac:dyDescent="0.3">
      <c r="B18" s="713" t="s">
        <v>617</v>
      </c>
      <c r="C18" s="712"/>
      <c r="D18" s="711"/>
      <c r="E18" s="710">
        <f>SUM(E15:E17)</f>
        <v>9365.7250000000004</v>
      </c>
    </row>
    <row r="19" spans="2:6" ht="16.95" customHeight="1" x14ac:dyDescent="0.25"/>
    <row r="20" spans="2:6" ht="16.95" customHeight="1" thickBot="1" x14ac:dyDescent="0.3">
      <c r="B20" s="726" t="s">
        <v>626</v>
      </c>
    </row>
    <row r="21" spans="2:6" ht="16.95" customHeight="1" thickBot="1" x14ac:dyDescent="0.3">
      <c r="B21" s="725" t="s">
        <v>625</v>
      </c>
      <c r="C21" s="723" t="s">
        <v>624</v>
      </c>
      <c r="D21" s="724" t="s">
        <v>623</v>
      </c>
      <c r="E21" s="723" t="s">
        <v>622</v>
      </c>
    </row>
    <row r="22" spans="2:6" ht="16.95" customHeight="1" x14ac:dyDescent="0.25">
      <c r="B22" s="720" t="s">
        <v>621</v>
      </c>
      <c r="C22" s="722">
        <v>2</v>
      </c>
      <c r="D22" s="718">
        <f>675*1.6</f>
        <v>1080</v>
      </c>
      <c r="E22" s="714">
        <f>C22*D22</f>
        <v>2160</v>
      </c>
    </row>
    <row r="23" spans="2:6" ht="16.95" customHeight="1" x14ac:dyDescent="0.25">
      <c r="B23" s="721" t="s">
        <v>620</v>
      </c>
      <c r="C23" s="719">
        <v>1</v>
      </c>
      <c r="D23" s="718">
        <f>1070*1.58</f>
        <v>1690.6000000000001</v>
      </c>
      <c r="E23" s="714">
        <f>C23*D23</f>
        <v>1690.6000000000001</v>
      </c>
    </row>
    <row r="24" spans="2:6" ht="16.95" customHeight="1" x14ac:dyDescent="0.25">
      <c r="B24" s="720" t="s">
        <v>619</v>
      </c>
      <c r="C24" s="719">
        <v>1</v>
      </c>
      <c r="D24" s="718">
        <f>685*1.6</f>
        <v>1096</v>
      </c>
      <c r="E24" s="714">
        <f>C24*D24</f>
        <v>1096</v>
      </c>
    </row>
    <row r="25" spans="2:6" ht="16.95" customHeight="1" thickBot="1" x14ac:dyDescent="0.3">
      <c r="B25" s="717" t="s">
        <v>618</v>
      </c>
      <c r="C25" s="716">
        <v>1</v>
      </c>
      <c r="D25" s="715">
        <f>700*1.6</f>
        <v>1120</v>
      </c>
      <c r="E25" s="714">
        <f>C25*D25</f>
        <v>1120</v>
      </c>
    </row>
    <row r="26" spans="2:6" ht="16.95" customHeight="1" thickBot="1" x14ac:dyDescent="0.3">
      <c r="B26" s="713" t="s">
        <v>617</v>
      </c>
      <c r="C26" s="712"/>
      <c r="D26" s="711"/>
      <c r="E26" s="710">
        <f>SUM(E22:E25)</f>
        <v>6066.6</v>
      </c>
    </row>
    <row r="27" spans="2:6" ht="13.8" x14ac:dyDescent="0.25">
      <c r="B27" s="708"/>
      <c r="E27" s="709"/>
    </row>
    <row r="28" spans="2:6" ht="13.8" x14ac:dyDescent="0.25">
      <c r="B28" s="708"/>
    </row>
    <row r="29" spans="2:6" ht="13.8" x14ac:dyDescent="0.25">
      <c r="B29" s="708"/>
    </row>
    <row r="30" spans="2:6" ht="13.8" x14ac:dyDescent="0.25">
      <c r="B30" s="708"/>
      <c r="C30" s="798"/>
      <c r="D30" s="798"/>
      <c r="E30" s="798"/>
      <c r="F30" s="798"/>
    </row>
  </sheetData>
  <mergeCells count="2">
    <mergeCell ref="F8:J8"/>
    <mergeCell ref="C30:F3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40B399292ED844BD46FA707F93906A" ma:contentTypeVersion="4" ma:contentTypeDescription="Create a new document." ma:contentTypeScope="" ma:versionID="5b1b3ce583010ce42c7cad393501cb64">
  <xsd:schema xmlns:xsd="http://www.w3.org/2001/XMLSchema" xmlns:xs="http://www.w3.org/2001/XMLSchema" xmlns:p="http://schemas.microsoft.com/office/2006/metadata/properties" xmlns:ns3="f45be7b9-bd9a-4b41-a11d-059d5f27e9c7" targetNamespace="http://schemas.microsoft.com/office/2006/metadata/properties" ma:root="true" ma:fieldsID="0597a7070734978d3ed3a1054d35e2d9" ns3:_="">
    <xsd:import namespace="f45be7b9-bd9a-4b41-a11d-059d5f27e9c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5be7b9-bd9a-4b41-a11d-059d5f27e9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04ABD4-1D05-41BF-A02A-5227DBD520FF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f45be7b9-bd9a-4b41-a11d-059d5f27e9c7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FDDB6D1-E5C0-4693-98D4-FEA214B30F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B81300-6EE7-475A-AB0B-D116966B06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5be7b9-bd9a-4b41-a11d-059d5f27e9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13</vt:i4>
      </vt:variant>
    </vt:vector>
  </HeadingPairs>
  <TitlesOfParts>
    <vt:vector size="39" baseType="lpstr">
      <vt:lpstr>NOT TO USE</vt:lpstr>
      <vt:lpstr>NOT TO USE.</vt:lpstr>
      <vt:lpstr>P&amp;L Actual 2024</vt:lpstr>
      <vt:lpstr>Var 2024</vt:lpstr>
      <vt:lpstr>Bal Sheet Actual 2024    </vt:lpstr>
      <vt:lpstr>Capital 2024</vt:lpstr>
      <vt:lpstr>Major 2024</vt:lpstr>
      <vt:lpstr>Reserve Flow Actual 2024</vt:lpstr>
      <vt:lpstr>P&amp;L Q1 2025</vt:lpstr>
      <vt:lpstr>Var 2025</vt:lpstr>
      <vt:lpstr>Strata Fees Impact - 2025</vt:lpstr>
      <vt:lpstr>Bal Sheet Q1 2025</vt:lpstr>
      <vt:lpstr>Capital Q1 2025</vt:lpstr>
      <vt:lpstr>Major Q1 2025</vt:lpstr>
      <vt:lpstr>Reserve Flow Q1 2025</vt:lpstr>
      <vt:lpstr>Retained Earnings Q1 2025</vt:lpstr>
      <vt:lpstr>Insurance</vt:lpstr>
      <vt:lpstr>FUEL FACTOR  FORTIS</vt:lpstr>
      <vt:lpstr>P&amp;L Budget 2025</vt:lpstr>
      <vt:lpstr>Strata fees Breakdown</vt:lpstr>
      <vt:lpstr>Var Budget 2025</vt:lpstr>
      <vt:lpstr>Security </vt:lpstr>
      <vt:lpstr>Capital Budget 2025</vt:lpstr>
      <vt:lpstr>Major 2025 Budget..</vt:lpstr>
      <vt:lpstr>Reserve Flow Budget 2025</vt:lpstr>
      <vt:lpstr>Capex Detail..</vt:lpstr>
      <vt:lpstr>'Bal Sheet Actual 2024    '!Print_Area</vt:lpstr>
      <vt:lpstr>'Bal Sheet Q1 2025'!Print_Area</vt:lpstr>
      <vt:lpstr>'Capital 2024'!Print_Area</vt:lpstr>
      <vt:lpstr>'Capital Q1 2025'!Print_Area</vt:lpstr>
      <vt:lpstr>'FUEL FACTOR  FORTIS'!Print_Area</vt:lpstr>
      <vt:lpstr>'Major 2024'!Print_Area</vt:lpstr>
      <vt:lpstr>'Major Q1 2025'!Print_Area</vt:lpstr>
      <vt:lpstr>'NOT TO USE.'!Print_Area</vt:lpstr>
      <vt:lpstr>'Reserve Flow Actual 2024'!Print_Area</vt:lpstr>
      <vt:lpstr>'Reserve Flow Q1 2025'!Print_Area</vt:lpstr>
      <vt:lpstr>'Retained Earnings Q1 2025'!Print_Area</vt:lpstr>
      <vt:lpstr>'Var 2024'!Print_Area</vt:lpstr>
      <vt:lpstr>'Var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Rhondi Hobson</dc:creator>
  <cp:lastModifiedBy>Terron Hewitt</cp:lastModifiedBy>
  <cp:lastPrinted>2025-05-20T16:06:13Z</cp:lastPrinted>
  <dcterms:created xsi:type="dcterms:W3CDTF">2021-03-11T12:45:08Z</dcterms:created>
  <dcterms:modified xsi:type="dcterms:W3CDTF">2025-05-20T16:46:11Z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0x0101006540B399292ED844BD46FA707F93906A</vt:lpwstr>
  </property>
</Properties>
</file>