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djules\Documents\Owners\AGM Folder\AGM 2024\"/>
    </mc:Choice>
  </mc:AlternateContent>
  <xr:revisionPtr revIDLastSave="0" documentId="13_ncr:1_{254DF87E-F8EA-4DCE-B162-AA94098724D2}" xr6:coauthVersionLast="47" xr6:coauthVersionMax="47" xr10:uidLastSave="{00000000-0000-0000-0000-000000000000}"/>
  <bookViews>
    <workbookView xWindow="-120" yWindow="-120" windowWidth="29040" windowHeight="15840" tabRatio="809" firstSheet="13" activeTab="21" xr2:uid="{00000000-000D-0000-FFFF-FFFF00000000}"/>
  </bookViews>
  <sheets>
    <sheet name="NOT TO USE" sheetId="2" state="hidden" r:id="rId1"/>
    <sheet name="NOT TO USE." sheetId="1" state="hidden" r:id="rId2"/>
    <sheet name="P&amp;L Actual 2023" sheetId="23" r:id="rId3"/>
    <sheet name="Var 2023" sheetId="47" r:id="rId4"/>
    <sheet name="Bal Sheet Actual 2023" sheetId="34" r:id="rId5"/>
    <sheet name="Capital 2023 " sheetId="35" r:id="rId6"/>
    <sheet name="Major 2023 " sheetId="36" r:id="rId7"/>
    <sheet name="Reserve Flow Actual--2023" sheetId="37" r:id="rId8"/>
    <sheet name="P&amp;L Q1 2024" sheetId="28" r:id="rId9"/>
    <sheet name="Var 2024" sheetId="48" r:id="rId10"/>
    <sheet name="Bal Sheet Q1 2024" sheetId="41" r:id="rId11"/>
    <sheet name="Capital Q1 2024" sheetId="42" r:id="rId12"/>
    <sheet name="Major Q1 2024 " sheetId="43" r:id="rId13"/>
    <sheet name="Reserve Flow Q1 2024" sheetId="44" r:id="rId14"/>
    <sheet name="Retained earnings.." sheetId="45" r:id="rId15"/>
    <sheet name="Insurance" sheetId="22" r:id="rId16"/>
    <sheet name="FUEL FACTOR  FORTIS" sheetId="33" r:id="rId17"/>
    <sheet name="P&amp;L Budget 2024" sheetId="24" r:id="rId18"/>
    <sheet name="Capital budget 2024" sheetId="38" r:id="rId19"/>
    <sheet name="Major budget 2024 " sheetId="39" r:id="rId20"/>
    <sheet name="Reserve Flow Budget 2024" sheetId="40" r:id="rId21"/>
    <sheet name="Sheet1" sheetId="49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_FilterDatabase" localSheetId="3" hidden="1">'Var 2023'!$B$22:$D$35</definedName>
    <definedName name="_xlnm._FilterDatabase" localSheetId="9" hidden="1">'Var 2024'!$B$14:$D$34</definedName>
    <definedName name="ENERO" localSheetId="11">#REF!</definedName>
    <definedName name="ENERO" localSheetId="12">#REF!</definedName>
    <definedName name="ENERO" localSheetId="13">#REF!</definedName>
    <definedName name="ENERO">#REF!</definedName>
    <definedName name="_xlnm.Print_Area" localSheetId="4">'Bal Sheet Actual 2023'!$A$1:$H$57</definedName>
    <definedName name="_xlnm.Print_Area" localSheetId="10">'Bal Sheet Q1 2024'!$A$1:$H$57</definedName>
    <definedName name="_xlnm.Print_Area" localSheetId="5">'Capital 2023 '!$A$1:$O$29</definedName>
    <definedName name="_xlnm.Print_Area" localSheetId="11">'Capital Q1 2024'!$A$1:$O$33</definedName>
    <definedName name="_xlnm.Print_Area" localSheetId="6">'Major 2023 '!$B$2:$P$17</definedName>
    <definedName name="_xlnm.Print_Area" localSheetId="12">'Major Q1 2024 '!$B$2:$P$18</definedName>
    <definedName name="_xlnm.Print_Area" localSheetId="1">'NOT TO USE.'!$A$1:$V$175</definedName>
    <definedName name="_xlnm.Print_Area" localSheetId="7">'Reserve Flow Actual--2023'!$H$1:$O$21</definedName>
    <definedName name="_xlnm.Print_Area" localSheetId="14">'Retained earnings..'!$A$1:$D$22</definedName>
    <definedName name="_xlnm.Print_Area" localSheetId="3">'Var 2023'!$A$2:$D$40</definedName>
    <definedName name="_xlnm.Print_Area" localSheetId="9">'Var 2024'!$A$2:$D$40</definedName>
    <definedName name="TAB_MOIS" localSheetId="11">#REF!</definedName>
    <definedName name="TAB_MOIS" localSheetId="12">#REF!</definedName>
    <definedName name="TAB_MOIS" localSheetId="13">#REF!</definedName>
    <definedName name="TAB_MOIS">'[1]Income Statement'!#REF!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2" l="1"/>
  <c r="G10" i="22"/>
  <c r="D29" i="48" l="1"/>
  <c r="D34" i="48"/>
  <c r="D33" i="48"/>
  <c r="D31" i="48"/>
  <c r="D32" i="48"/>
  <c r="D30" i="48"/>
  <c r="D28" i="48"/>
  <c r="C26" i="48"/>
  <c r="C24" i="48"/>
  <c r="C22" i="48"/>
  <c r="C20" i="48"/>
  <c r="C23" i="48"/>
  <c r="C18" i="48"/>
  <c r="C17" i="48"/>
  <c r="C16" i="48"/>
  <c r="C15" i="48"/>
  <c r="D35" i="47"/>
  <c r="D31" i="47"/>
  <c r="D28" i="47"/>
  <c r="D32" i="47"/>
  <c r="C25" i="47"/>
  <c r="C18" i="47"/>
  <c r="C19" i="47"/>
  <c r="K6" i="22"/>
  <c r="H7" i="22"/>
  <c r="H8" i="22"/>
  <c r="H6" i="22"/>
  <c r="D10" i="22"/>
  <c r="H39" i="33"/>
  <c r="I39" i="33"/>
  <c r="J39" i="33"/>
  <c r="K39" i="33"/>
  <c r="L39" i="33"/>
  <c r="M39" i="33"/>
  <c r="N39" i="33"/>
  <c r="O21" i="33"/>
  <c r="G39" i="33"/>
  <c r="D39" i="33"/>
  <c r="E39" i="33"/>
  <c r="F39" i="33"/>
  <c r="C39" i="33"/>
  <c r="F30" i="28"/>
  <c r="F160" i="28"/>
  <c r="F168" i="28"/>
  <c r="F172" i="28"/>
  <c r="F152" i="28"/>
  <c r="F154" i="28" s="1"/>
  <c r="F163" i="28" s="1"/>
  <c r="F150" i="28"/>
  <c r="F141" i="28"/>
  <c r="F133" i="28"/>
  <c r="F136" i="28" s="1"/>
  <c r="F119" i="28"/>
  <c r="F110" i="28"/>
  <c r="F103" i="28"/>
  <c r="F106" i="28" s="1"/>
  <c r="F83" i="28"/>
  <c r="F73" i="28"/>
  <c r="F65" i="28"/>
  <c r="F51" i="28"/>
  <c r="F41" i="28"/>
  <c r="F68" i="28" s="1"/>
  <c r="F6" i="28"/>
  <c r="F13" i="28"/>
  <c r="F18" i="28"/>
  <c r="F23" i="28"/>
  <c r="C8" i="48"/>
  <c r="H39" i="28"/>
  <c r="H40" i="28"/>
  <c r="D9" i="48"/>
  <c r="D11" i="48" s="1"/>
  <c r="C7" i="48"/>
  <c r="C8" i="47"/>
  <c r="D9" i="47"/>
  <c r="D11" i="47" s="1"/>
  <c r="C7" i="47"/>
  <c r="F25" i="28" l="1"/>
  <c r="D37" i="48"/>
  <c r="C37" i="48"/>
  <c r="D37" i="47"/>
  <c r="C37" i="47"/>
  <c r="C11" i="48"/>
  <c r="C11" i="47"/>
  <c r="D38" i="48" l="1"/>
  <c r="C12" i="48"/>
  <c r="D38" i="47"/>
  <c r="C12" i="47"/>
  <c r="C40" i="48" l="1"/>
  <c r="C40" i="47"/>
  <c r="C14" i="45"/>
  <c r="C15" i="45" s="1"/>
  <c r="C9" i="45"/>
  <c r="C17" i="45" s="1"/>
  <c r="N18" i="44" l="1"/>
  <c r="M18" i="44"/>
  <c r="O18" i="44" s="1"/>
  <c r="N16" i="44"/>
  <c r="M16" i="44"/>
  <c r="O16" i="44" s="1"/>
  <c r="N12" i="44"/>
  <c r="M12" i="44"/>
  <c r="O12" i="44" s="1"/>
  <c r="N10" i="44"/>
  <c r="N14" i="44" s="1"/>
  <c r="N20" i="44" s="1"/>
  <c r="M10" i="44"/>
  <c r="O10" i="44" s="1"/>
  <c r="O8" i="44"/>
  <c r="G16" i="43"/>
  <c r="E16" i="43"/>
  <c r="M15" i="43"/>
  <c r="K15" i="43"/>
  <c r="I13" i="43"/>
  <c r="K13" i="43" s="1"/>
  <c r="M13" i="43" s="1"/>
  <c r="G12" i="43"/>
  <c r="I12" i="43" s="1"/>
  <c r="K12" i="43" s="1"/>
  <c r="M12" i="43" s="1"/>
  <c r="I11" i="43"/>
  <c r="K11" i="43" s="1"/>
  <c r="M11" i="43" s="1"/>
  <c r="I10" i="43"/>
  <c r="K10" i="43" s="1"/>
  <c r="M10" i="43" s="1"/>
  <c r="I9" i="43"/>
  <c r="K9" i="43" s="1"/>
  <c r="M9" i="43" s="1"/>
  <c r="I8" i="43"/>
  <c r="K8" i="43" s="1"/>
  <c r="M8" i="43" s="1"/>
  <c r="I7" i="43"/>
  <c r="K29" i="42"/>
  <c r="M29" i="42" s="1"/>
  <c r="M27" i="42"/>
  <c r="I27" i="42"/>
  <c r="K27" i="42" s="1"/>
  <c r="M26" i="42"/>
  <c r="I26" i="42"/>
  <c r="K26" i="42" s="1"/>
  <c r="M25" i="42"/>
  <c r="I25" i="42"/>
  <c r="K25" i="42" s="1"/>
  <c r="M24" i="42"/>
  <c r="I24" i="42"/>
  <c r="K24" i="42" s="1"/>
  <c r="M23" i="42"/>
  <c r="I23" i="42"/>
  <c r="K23" i="42" s="1"/>
  <c r="M22" i="42"/>
  <c r="I22" i="42"/>
  <c r="K22" i="42" s="1"/>
  <c r="M21" i="42"/>
  <c r="I21" i="42"/>
  <c r="K21" i="42" s="1"/>
  <c r="M20" i="42"/>
  <c r="I20" i="42"/>
  <c r="K20" i="42" s="1"/>
  <c r="E19" i="42"/>
  <c r="I19" i="42" s="1"/>
  <c r="K19" i="42" s="1"/>
  <c r="M18" i="42"/>
  <c r="I18" i="42"/>
  <c r="K18" i="42" s="1"/>
  <c r="M17" i="42"/>
  <c r="I17" i="42"/>
  <c r="K17" i="42" s="1"/>
  <c r="M16" i="42"/>
  <c r="I16" i="42"/>
  <c r="K16" i="42" s="1"/>
  <c r="M15" i="42"/>
  <c r="I15" i="42"/>
  <c r="K15" i="42" s="1"/>
  <c r="M14" i="42"/>
  <c r="I14" i="42"/>
  <c r="K14" i="42" s="1"/>
  <c r="M13" i="42"/>
  <c r="I13" i="42"/>
  <c r="K13" i="42" s="1"/>
  <c r="M12" i="42"/>
  <c r="I12" i="42"/>
  <c r="K12" i="42" s="1"/>
  <c r="M11" i="42"/>
  <c r="I11" i="42"/>
  <c r="K11" i="42" s="1"/>
  <c r="M10" i="42"/>
  <c r="I10" i="42"/>
  <c r="K10" i="42" s="1"/>
  <c r="M9" i="42"/>
  <c r="I9" i="42"/>
  <c r="K9" i="42" s="1"/>
  <c r="G8" i="42"/>
  <c r="I8" i="42" s="1"/>
  <c r="I16" i="43" l="1"/>
  <c r="M14" i="44"/>
  <c r="O14" i="44" s="1"/>
  <c r="O20" i="44" s="1"/>
  <c r="M20" i="44"/>
  <c r="K7" i="43"/>
  <c r="I30" i="42"/>
  <c r="M19" i="42"/>
  <c r="K8" i="42"/>
  <c r="K30" i="42" s="1"/>
  <c r="M8" i="42"/>
  <c r="M30" i="42" s="1"/>
  <c r="E30" i="42"/>
  <c r="G30" i="42"/>
  <c r="K16" i="43" l="1"/>
  <c r="M7" i="43"/>
  <c r="M16" i="43" s="1"/>
  <c r="I53" i="41" l="1"/>
  <c r="I52" i="41"/>
  <c r="I51" i="41"/>
  <c r="I50" i="41"/>
  <c r="I49" i="41"/>
  <c r="F48" i="41"/>
  <c r="I48" i="41" s="1"/>
  <c r="I47" i="41"/>
  <c r="I46" i="41"/>
  <c r="F45" i="41"/>
  <c r="I45" i="41" s="1"/>
  <c r="I43" i="41"/>
  <c r="I42" i="41"/>
  <c r="F41" i="41"/>
  <c r="I41" i="41" s="1"/>
  <c r="I40" i="41"/>
  <c r="I39" i="41"/>
  <c r="F38" i="41"/>
  <c r="I38" i="41" s="1"/>
  <c r="I35" i="41"/>
  <c r="I34" i="41"/>
  <c r="I33" i="41"/>
  <c r="F32" i="41"/>
  <c r="I32" i="41" s="1"/>
  <c r="I31" i="41"/>
  <c r="I30" i="41"/>
  <c r="F29" i="41"/>
  <c r="I29" i="41" s="1"/>
  <c r="I27" i="41"/>
  <c r="I26" i="41"/>
  <c r="F25" i="41"/>
  <c r="I25" i="41" s="1"/>
  <c r="F23" i="41"/>
  <c r="I23" i="41" s="1"/>
  <c r="F22" i="41"/>
  <c r="I22" i="41" s="1"/>
  <c r="F21" i="41"/>
  <c r="I21" i="41" s="1"/>
  <c r="I19" i="41"/>
  <c r="I17" i="41"/>
  <c r="I16" i="41"/>
  <c r="I15" i="41"/>
  <c r="F14" i="41"/>
  <c r="I14" i="41" s="1"/>
  <c r="I13" i="41"/>
  <c r="F12" i="41"/>
  <c r="I12" i="41" s="1"/>
  <c r="I11" i="41"/>
  <c r="F10" i="41"/>
  <c r="I10" i="41" s="1"/>
  <c r="D172" i="28"/>
  <c r="O12" i="40"/>
  <c r="N12" i="40"/>
  <c r="M12" i="40"/>
  <c r="N10" i="40"/>
  <c r="N14" i="40" s="1"/>
  <c r="M10" i="40"/>
  <c r="M14" i="40" s="1"/>
  <c r="O8" i="40"/>
  <c r="F9" i="41" l="1"/>
  <c r="F36" i="41" s="1"/>
  <c r="I36" i="41"/>
  <c r="F54" i="41"/>
  <c r="I54" i="41" s="1"/>
  <c r="I9" i="41"/>
  <c r="O14" i="40"/>
  <c r="O10" i="40"/>
  <c r="D17" i="39"/>
  <c r="D19" i="38"/>
  <c r="D28" i="38" s="1"/>
  <c r="D30" i="24"/>
  <c r="D51" i="24"/>
  <c r="D73" i="24"/>
  <c r="D106" i="24"/>
  <c r="D110" i="24"/>
  <c r="D141" i="24"/>
  <c r="D168" i="24"/>
  <c r="D172" i="24"/>
  <c r="D175" i="24" s="1"/>
  <c r="D160" i="24"/>
  <c r="D163" i="24" s="1"/>
  <c r="D133" i="24"/>
  <c r="D136" i="24" s="1"/>
  <c r="D119" i="24"/>
  <c r="D103" i="24"/>
  <c r="D83" i="24"/>
  <c r="D65" i="24"/>
  <c r="D41" i="24"/>
  <c r="F44" i="24"/>
  <c r="F45" i="24"/>
  <c r="F46" i="24"/>
  <c r="F49" i="24"/>
  <c r="D6" i="24"/>
  <c r="D13" i="24"/>
  <c r="D18" i="24"/>
  <c r="D23" i="24"/>
  <c r="F20" i="24"/>
  <c r="F21" i="24"/>
  <c r="F22" i="24"/>
  <c r="F8" i="24"/>
  <c r="F9" i="24"/>
  <c r="F10" i="24"/>
  <c r="F11" i="24"/>
  <c r="F12" i="24"/>
  <c r="E6" i="24"/>
  <c r="D68" i="24" l="1"/>
  <c r="F57" i="41"/>
  <c r="I57" i="41" s="1"/>
  <c r="D25" i="24"/>
  <c r="N18" i="37" l="1"/>
  <c r="M18" i="37"/>
  <c r="O18" i="37" s="1"/>
  <c r="F17" i="37"/>
  <c r="E17" i="37"/>
  <c r="N16" i="37"/>
  <c r="M16" i="37"/>
  <c r="O16" i="37" s="1"/>
  <c r="F16" i="37"/>
  <c r="E16" i="37"/>
  <c r="N12" i="37"/>
  <c r="N14" i="37" s="1"/>
  <c r="N20" i="37" s="1"/>
  <c r="M12" i="37"/>
  <c r="M14" i="37" s="1"/>
  <c r="O10" i="37"/>
  <c r="I15" i="36"/>
  <c r="E15" i="36"/>
  <c r="M14" i="36"/>
  <c r="K14" i="36"/>
  <c r="K13" i="36"/>
  <c r="M13" i="36" s="1"/>
  <c r="K12" i="36"/>
  <c r="M12" i="36" s="1"/>
  <c r="G11" i="36"/>
  <c r="K11" i="36" s="1"/>
  <c r="M11" i="36" s="1"/>
  <c r="G10" i="36"/>
  <c r="G15" i="36" s="1"/>
  <c r="K9" i="36"/>
  <c r="M9" i="36" s="1"/>
  <c r="G9" i="36"/>
  <c r="G8" i="36"/>
  <c r="K8" i="36" s="1"/>
  <c r="M8" i="36" s="1"/>
  <c r="G7" i="36"/>
  <c r="K7" i="36" s="1"/>
  <c r="I26" i="35"/>
  <c r="E26" i="35"/>
  <c r="M25" i="35"/>
  <c r="K25" i="35"/>
  <c r="M24" i="35"/>
  <c r="K24" i="35"/>
  <c r="G23" i="35"/>
  <c r="M23" i="35" s="1"/>
  <c r="G22" i="35"/>
  <c r="M22" i="35" s="1"/>
  <c r="G21" i="35"/>
  <c r="K21" i="35" s="1"/>
  <c r="G20" i="35"/>
  <c r="M20" i="35" s="1"/>
  <c r="G19" i="35"/>
  <c r="K19" i="35" s="1"/>
  <c r="K18" i="35"/>
  <c r="G18" i="35"/>
  <c r="M18" i="35" s="1"/>
  <c r="G17" i="35"/>
  <c r="K17" i="35" s="1"/>
  <c r="G16" i="35"/>
  <c r="M16" i="35" s="1"/>
  <c r="G15" i="35"/>
  <c r="M15" i="35" s="1"/>
  <c r="G14" i="35"/>
  <c r="M14" i="35" s="1"/>
  <c r="G13" i="35"/>
  <c r="M13" i="35" s="1"/>
  <c r="G12" i="35"/>
  <c r="M12" i="35" s="1"/>
  <c r="G11" i="35"/>
  <c r="K11" i="35" s="1"/>
  <c r="K10" i="35"/>
  <c r="G10" i="35"/>
  <c r="M10" i="35" s="1"/>
  <c r="G9" i="35"/>
  <c r="K9" i="35" s="1"/>
  <c r="G8" i="35"/>
  <c r="I53" i="34"/>
  <c r="I52" i="34"/>
  <c r="I51" i="34"/>
  <c r="I50" i="34"/>
  <c r="I49" i="34"/>
  <c r="F48" i="34"/>
  <c r="I47" i="34"/>
  <c r="I46" i="34"/>
  <c r="F45" i="34"/>
  <c r="I45" i="34" s="1"/>
  <c r="I43" i="34"/>
  <c r="I42" i="34"/>
  <c r="F41" i="34"/>
  <c r="I41" i="34" s="1"/>
  <c r="I40" i="34"/>
  <c r="I39" i="34"/>
  <c r="F38" i="34"/>
  <c r="I38" i="34" s="1"/>
  <c r="I35" i="34"/>
  <c r="I34" i="34"/>
  <c r="I33" i="34"/>
  <c r="F32" i="34"/>
  <c r="I32" i="34" s="1"/>
  <c r="I31" i="34"/>
  <c r="I30" i="34"/>
  <c r="F29" i="34"/>
  <c r="I29" i="34" s="1"/>
  <c r="I27" i="34"/>
  <c r="I26" i="34"/>
  <c r="F25" i="34"/>
  <c r="I25" i="34" s="1"/>
  <c r="I23" i="34"/>
  <c r="I22" i="34"/>
  <c r="F21" i="34"/>
  <c r="I21" i="34" s="1"/>
  <c r="I19" i="34"/>
  <c r="I17" i="34"/>
  <c r="I16" i="34"/>
  <c r="I15" i="34"/>
  <c r="F14" i="34"/>
  <c r="I14" i="34" s="1"/>
  <c r="I13" i="34"/>
  <c r="I12" i="34"/>
  <c r="I11" i="34"/>
  <c r="I10" i="34"/>
  <c r="F9" i="34"/>
  <c r="G26" i="35" l="1"/>
  <c r="K14" i="35"/>
  <c r="F36" i="34"/>
  <c r="I36" i="34" s="1"/>
  <c r="F54" i="34"/>
  <c r="I54" i="34" s="1"/>
  <c r="K22" i="35"/>
  <c r="O14" i="37"/>
  <c r="M20" i="37"/>
  <c r="O20" i="37" s="1"/>
  <c r="O12" i="37"/>
  <c r="M7" i="36"/>
  <c r="K10" i="36"/>
  <c r="M10" i="36" s="1"/>
  <c r="K15" i="35"/>
  <c r="M19" i="35"/>
  <c r="K8" i="35"/>
  <c r="K12" i="35"/>
  <c r="K16" i="35"/>
  <c r="K20" i="35"/>
  <c r="K23" i="35"/>
  <c r="M11" i="35"/>
  <c r="M8" i="35"/>
  <c r="K13" i="35"/>
  <c r="M9" i="35"/>
  <c r="M17" i="35"/>
  <c r="M21" i="35"/>
  <c r="F57" i="34"/>
  <c r="I57" i="34" s="1"/>
  <c r="I48" i="34"/>
  <c r="I9" i="34"/>
  <c r="E22" i="23"/>
  <c r="E21" i="23"/>
  <c r="E20" i="23"/>
  <c r="E15" i="23"/>
  <c r="H22" i="23"/>
  <c r="M15" i="36" l="1"/>
  <c r="K15" i="36"/>
  <c r="M26" i="35"/>
  <c r="K26" i="35"/>
  <c r="F10" i="22"/>
  <c r="G11" i="22" s="1"/>
  <c r="H10" i="22" s="1"/>
  <c r="N38" i="33" l="1"/>
  <c r="M38" i="33"/>
  <c r="L38" i="33"/>
  <c r="K38" i="33"/>
  <c r="J38" i="33"/>
  <c r="I38" i="33"/>
  <c r="H38" i="33"/>
  <c r="G38" i="33"/>
  <c r="F38" i="33"/>
  <c r="E38" i="33"/>
  <c r="D38" i="33"/>
  <c r="C38" i="33"/>
  <c r="N37" i="33"/>
  <c r="M37" i="33"/>
  <c r="L37" i="33"/>
  <c r="K37" i="33"/>
  <c r="J37" i="33"/>
  <c r="I37" i="33"/>
  <c r="H37" i="33"/>
  <c r="G37" i="33"/>
  <c r="F37" i="33"/>
  <c r="E37" i="33"/>
  <c r="D37" i="33"/>
  <c r="C37" i="33"/>
  <c r="N36" i="33"/>
  <c r="M36" i="33"/>
  <c r="L36" i="33"/>
  <c r="K36" i="33"/>
  <c r="J36" i="33"/>
  <c r="I36" i="33"/>
  <c r="H36" i="33"/>
  <c r="G36" i="33"/>
  <c r="F36" i="33"/>
  <c r="E36" i="33"/>
  <c r="D36" i="33"/>
  <c r="C36" i="33"/>
  <c r="N35" i="33"/>
  <c r="M35" i="33"/>
  <c r="L35" i="33"/>
  <c r="K35" i="33"/>
  <c r="J35" i="33"/>
  <c r="I35" i="33"/>
  <c r="H35" i="33"/>
  <c r="G35" i="33"/>
  <c r="F35" i="33"/>
  <c r="E35" i="33"/>
  <c r="D35" i="33"/>
  <c r="C35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N33" i="33"/>
  <c r="M33" i="33"/>
  <c r="L33" i="33"/>
  <c r="K33" i="33"/>
  <c r="J33" i="33"/>
  <c r="I33" i="33"/>
  <c r="H33" i="33"/>
  <c r="G33" i="33"/>
  <c r="F33" i="33"/>
  <c r="E33" i="33"/>
  <c r="D33" i="33"/>
  <c r="C33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N31" i="33"/>
  <c r="M31" i="33"/>
  <c r="L31" i="33"/>
  <c r="K31" i="33"/>
  <c r="J31" i="33"/>
  <c r="I31" i="33"/>
  <c r="H31" i="33"/>
  <c r="G31" i="33"/>
  <c r="F31" i="33"/>
  <c r="E31" i="33"/>
  <c r="D31" i="33"/>
  <c r="C31" i="33"/>
  <c r="N30" i="33"/>
  <c r="M30" i="33"/>
  <c r="L30" i="33"/>
  <c r="K30" i="33"/>
  <c r="J30" i="33"/>
  <c r="I30" i="33"/>
  <c r="H30" i="33"/>
  <c r="G30" i="33"/>
  <c r="F30" i="33"/>
  <c r="E30" i="33"/>
  <c r="D30" i="33"/>
  <c r="C30" i="33"/>
  <c r="N29" i="33"/>
  <c r="M29" i="33"/>
  <c r="L29" i="33"/>
  <c r="K29" i="33"/>
  <c r="J29" i="33"/>
  <c r="I29" i="33"/>
  <c r="H29" i="33"/>
  <c r="G29" i="33"/>
  <c r="F29" i="33"/>
  <c r="E29" i="33"/>
  <c r="D29" i="33"/>
  <c r="C29" i="33"/>
  <c r="N28" i="33"/>
  <c r="M28" i="33"/>
  <c r="L28" i="33"/>
  <c r="K28" i="33"/>
  <c r="J28" i="33"/>
  <c r="I28" i="33"/>
  <c r="H28" i="33"/>
  <c r="G28" i="33"/>
  <c r="F28" i="33"/>
  <c r="E28" i="33"/>
  <c r="D28" i="33"/>
  <c r="C28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N25" i="33"/>
  <c r="M25" i="33"/>
  <c r="L25" i="33"/>
  <c r="K25" i="33"/>
  <c r="J25" i="33"/>
  <c r="I25" i="33"/>
  <c r="H25" i="33"/>
  <c r="G25" i="33"/>
  <c r="F25" i="33"/>
  <c r="E25" i="33"/>
  <c r="D25" i="33"/>
  <c r="C25" i="33"/>
  <c r="O20" i="33"/>
  <c r="O39" i="33" s="1"/>
  <c r="O19" i="33"/>
  <c r="O18" i="33"/>
  <c r="O17" i="33"/>
  <c r="O16" i="33"/>
  <c r="O15" i="33"/>
  <c r="O14" i="33"/>
  <c r="O13" i="33"/>
  <c r="O12" i="33"/>
  <c r="O11" i="33"/>
  <c r="O10" i="33"/>
  <c r="O9" i="33"/>
  <c r="O8" i="33"/>
  <c r="O7" i="33"/>
  <c r="O6" i="33"/>
  <c r="FJ5" i="33"/>
  <c r="FI5" i="33"/>
  <c r="FH5" i="33"/>
  <c r="FG5" i="33"/>
  <c r="FF5" i="33"/>
  <c r="FE5" i="33"/>
  <c r="FD5" i="33"/>
  <c r="FC5" i="33"/>
  <c r="FB5" i="33"/>
  <c r="FA5" i="33"/>
  <c r="EZ5" i="33"/>
  <c r="EY5" i="33"/>
  <c r="EX5" i="33"/>
  <c r="EW5" i="33"/>
  <c r="EV5" i="33"/>
  <c r="EU5" i="33"/>
  <c r="ET5" i="33"/>
  <c r="ES5" i="33"/>
  <c r="ER5" i="33"/>
  <c r="EQ5" i="33"/>
  <c r="EP5" i="33"/>
  <c r="EO5" i="33"/>
  <c r="EN5" i="33"/>
  <c r="EM5" i="33"/>
  <c r="EL5" i="33"/>
  <c r="EK5" i="33"/>
  <c r="EJ5" i="33"/>
  <c r="EI5" i="33"/>
  <c r="EH5" i="33"/>
  <c r="EG5" i="33"/>
  <c r="EF5" i="33"/>
  <c r="EE5" i="33"/>
  <c r="ED5" i="33"/>
  <c r="EC5" i="33"/>
  <c r="EB5" i="33"/>
  <c r="EA5" i="33"/>
  <c r="DZ5" i="33"/>
  <c r="DY5" i="33"/>
  <c r="DX5" i="33"/>
  <c r="DW5" i="33"/>
  <c r="DV5" i="33"/>
  <c r="DU5" i="33"/>
  <c r="DT5" i="33"/>
  <c r="DS5" i="33"/>
  <c r="DR5" i="33"/>
  <c r="DQ5" i="33"/>
  <c r="DP5" i="33"/>
  <c r="DO5" i="33"/>
  <c r="DN5" i="33"/>
  <c r="DM5" i="33"/>
  <c r="DL5" i="33"/>
  <c r="DK5" i="33"/>
  <c r="DJ5" i="33"/>
  <c r="DI5" i="33"/>
  <c r="DH5" i="33"/>
  <c r="DG5" i="33"/>
  <c r="DF5" i="33"/>
  <c r="DE5" i="33"/>
  <c r="DD5" i="33"/>
  <c r="DC5" i="33"/>
  <c r="DB5" i="33"/>
  <c r="DA5" i="33"/>
  <c r="CZ5" i="33"/>
  <c r="CY5" i="33"/>
  <c r="CX5" i="33"/>
  <c r="CW5" i="33"/>
  <c r="CV5" i="33"/>
  <c r="CU5" i="33"/>
  <c r="CT5" i="33"/>
  <c r="CS5" i="33"/>
  <c r="CR5" i="33"/>
  <c r="CQ5" i="33"/>
  <c r="CP5" i="33"/>
  <c r="CO5" i="33"/>
  <c r="CN5" i="33"/>
  <c r="CM5" i="33"/>
  <c r="CL5" i="33"/>
  <c r="CK5" i="33"/>
  <c r="CJ5" i="33"/>
  <c r="CI5" i="33"/>
  <c r="CH5" i="33"/>
  <c r="CG5" i="33"/>
  <c r="CF5" i="33"/>
  <c r="CE5" i="33"/>
  <c r="CD5" i="33"/>
  <c r="CC5" i="33"/>
  <c r="CB5" i="33"/>
  <c r="CA5" i="33"/>
  <c r="BZ5" i="33"/>
  <c r="BY5" i="33"/>
  <c r="BX5" i="33"/>
  <c r="BW5" i="33"/>
  <c r="BV5" i="33"/>
  <c r="BU5" i="33"/>
  <c r="BT5" i="33"/>
  <c r="BS5" i="33"/>
  <c r="BR5" i="33"/>
  <c r="BQ5" i="33"/>
  <c r="BP5" i="33"/>
  <c r="BO5" i="33"/>
  <c r="BN5" i="33"/>
  <c r="BM5" i="33"/>
  <c r="BL5" i="33"/>
  <c r="BK5" i="33"/>
  <c r="BJ5" i="33"/>
  <c r="BI5" i="33"/>
  <c r="BH5" i="33"/>
  <c r="BG5" i="33"/>
  <c r="BF5" i="33"/>
  <c r="BE5" i="33"/>
  <c r="BD5" i="33"/>
  <c r="BC5" i="33"/>
  <c r="BB5" i="33"/>
  <c r="BA5" i="33"/>
  <c r="AZ5" i="33"/>
  <c r="AY5" i="33"/>
  <c r="AX5" i="33"/>
  <c r="AW5" i="33"/>
  <c r="AV5" i="33"/>
  <c r="AU5" i="33"/>
  <c r="AT5" i="33"/>
  <c r="AS5" i="33"/>
  <c r="AR5" i="33"/>
  <c r="AQ5" i="33"/>
  <c r="AP5" i="33"/>
  <c r="AO5" i="33"/>
  <c r="AN5" i="33"/>
  <c r="AM5" i="33"/>
  <c r="AL5" i="33"/>
  <c r="AK5" i="33"/>
  <c r="AJ5" i="33"/>
  <c r="AI5" i="33"/>
  <c r="AH5" i="33"/>
  <c r="AG5" i="33"/>
  <c r="AF5" i="33"/>
  <c r="AE5" i="33"/>
  <c r="AD5" i="33"/>
  <c r="AC5" i="33"/>
  <c r="AB5" i="33"/>
  <c r="AA5" i="33"/>
  <c r="Z5" i="33"/>
  <c r="Y5" i="33"/>
  <c r="X5" i="33"/>
  <c r="W5" i="33"/>
  <c r="O5" i="33"/>
  <c r="O30" i="33" l="1"/>
  <c r="O35" i="33"/>
  <c r="O36" i="33"/>
  <c r="O38" i="33"/>
  <c r="O37" i="33"/>
  <c r="O27" i="33"/>
  <c r="O29" i="33"/>
  <c r="O34" i="33"/>
  <c r="O32" i="33"/>
  <c r="O26" i="33"/>
  <c r="O31" i="33"/>
  <c r="O28" i="33"/>
  <c r="O25" i="33"/>
  <c r="O33" i="33"/>
  <c r="H168" i="23" l="1"/>
  <c r="H141" i="23"/>
  <c r="H110" i="23"/>
  <c r="H73" i="23"/>
  <c r="H30" i="23"/>
  <c r="E160" i="23"/>
  <c r="F114" i="23"/>
  <c r="F57" i="23"/>
  <c r="F48" i="23"/>
  <c r="F47" i="23"/>
  <c r="F33" i="23"/>
  <c r="H171" i="23"/>
  <c r="H170" i="23"/>
  <c r="H169" i="23"/>
  <c r="H159" i="23"/>
  <c r="H157" i="23"/>
  <c r="H160" i="23" s="1"/>
  <c r="H152" i="23"/>
  <c r="H154" i="23" s="1"/>
  <c r="H132" i="23"/>
  <c r="H131" i="23"/>
  <c r="H130" i="23"/>
  <c r="H129" i="23"/>
  <c r="H128" i="23"/>
  <c r="H127" i="23"/>
  <c r="H126" i="23"/>
  <c r="H125" i="23"/>
  <c r="H124" i="23"/>
  <c r="H123" i="23"/>
  <c r="H122" i="23"/>
  <c r="H117" i="23"/>
  <c r="H116" i="23"/>
  <c r="H115" i="23"/>
  <c r="H114" i="23"/>
  <c r="H113" i="23"/>
  <c r="H112" i="23"/>
  <c r="H111" i="23"/>
  <c r="H102" i="23"/>
  <c r="H101" i="23"/>
  <c r="H100" i="23"/>
  <c r="H99" i="23"/>
  <c r="H98" i="23"/>
  <c r="H97" i="23"/>
  <c r="H96" i="23"/>
  <c r="H95" i="23"/>
  <c r="H94" i="23"/>
  <c r="H93" i="23"/>
  <c r="H92" i="23"/>
  <c r="H91" i="23"/>
  <c r="H90" i="23"/>
  <c r="H89" i="23"/>
  <c r="H88" i="23"/>
  <c r="H87" i="23"/>
  <c r="H86" i="23"/>
  <c r="H81" i="23"/>
  <c r="H80" i="23"/>
  <c r="H79" i="23"/>
  <c r="H78" i="23"/>
  <c r="H77" i="23"/>
  <c r="H76" i="23"/>
  <c r="H75" i="23"/>
  <c r="H74" i="23"/>
  <c r="H64" i="23"/>
  <c r="H63" i="23"/>
  <c r="H62" i="23"/>
  <c r="H61" i="23"/>
  <c r="H60" i="23"/>
  <c r="H59" i="23"/>
  <c r="H58" i="23"/>
  <c r="H57" i="23"/>
  <c r="H56" i="23"/>
  <c r="H55" i="23"/>
  <c r="H54" i="23"/>
  <c r="H49" i="23"/>
  <c r="H48" i="23"/>
  <c r="H47" i="23"/>
  <c r="H46" i="23"/>
  <c r="H45" i="23"/>
  <c r="H44" i="23"/>
  <c r="H40" i="23"/>
  <c r="H39" i="23"/>
  <c r="H38" i="23"/>
  <c r="H37" i="23"/>
  <c r="H36" i="23"/>
  <c r="H35" i="23"/>
  <c r="H34" i="23"/>
  <c r="H33" i="23"/>
  <c r="H32" i="23"/>
  <c r="H31" i="23"/>
  <c r="H23" i="23"/>
  <c r="H21" i="23"/>
  <c r="H20" i="23"/>
  <c r="H18" i="23"/>
  <c r="H15" i="23"/>
  <c r="G171" i="24"/>
  <c r="F171" i="24"/>
  <c r="G170" i="24"/>
  <c r="F170" i="24"/>
  <c r="G169" i="24"/>
  <c r="F169" i="24"/>
  <c r="J168" i="24"/>
  <c r="I168" i="24"/>
  <c r="F168" i="24"/>
  <c r="E168" i="24"/>
  <c r="G159" i="24"/>
  <c r="F159" i="24"/>
  <c r="I158" i="24"/>
  <c r="G157" i="24"/>
  <c r="F157" i="24"/>
  <c r="I153" i="24"/>
  <c r="G152" i="24"/>
  <c r="G154" i="24" s="1"/>
  <c r="F152" i="24"/>
  <c r="F154" i="24" s="1"/>
  <c r="E154" i="24"/>
  <c r="J141" i="24"/>
  <c r="I141" i="24"/>
  <c r="F141" i="24"/>
  <c r="E141" i="24"/>
  <c r="G132" i="24"/>
  <c r="F132" i="24"/>
  <c r="G131" i="24"/>
  <c r="F131" i="24"/>
  <c r="G130" i="24"/>
  <c r="F130" i="24"/>
  <c r="G129" i="24"/>
  <c r="F129" i="24"/>
  <c r="G128" i="24"/>
  <c r="F128" i="24"/>
  <c r="I128" i="24"/>
  <c r="J128" i="24" s="1"/>
  <c r="G127" i="24"/>
  <c r="F127" i="24"/>
  <c r="G126" i="24"/>
  <c r="F126" i="24"/>
  <c r="G125" i="24"/>
  <c r="F125" i="24"/>
  <c r="G124" i="24"/>
  <c r="F124" i="24"/>
  <c r="G123" i="24"/>
  <c r="F123" i="24"/>
  <c r="G122" i="24"/>
  <c r="F122" i="24"/>
  <c r="I118" i="24"/>
  <c r="G117" i="24"/>
  <c r="F117" i="24"/>
  <c r="G116" i="24"/>
  <c r="F116" i="24"/>
  <c r="G115" i="24"/>
  <c r="F115" i="24"/>
  <c r="G114" i="24"/>
  <c r="F114" i="24"/>
  <c r="E114" i="24"/>
  <c r="G113" i="24"/>
  <c r="F113" i="24"/>
  <c r="G112" i="24"/>
  <c r="F112" i="24"/>
  <c r="G111" i="24"/>
  <c r="F111" i="24"/>
  <c r="J110" i="24"/>
  <c r="I110" i="24"/>
  <c r="F110" i="24"/>
  <c r="E110" i="24"/>
  <c r="G102" i="24"/>
  <c r="F102" i="24"/>
  <c r="G101" i="24"/>
  <c r="F101" i="24"/>
  <c r="G100" i="24"/>
  <c r="F100" i="24"/>
  <c r="G99" i="24"/>
  <c r="F99" i="24"/>
  <c r="G98" i="24"/>
  <c r="F98" i="24"/>
  <c r="G97" i="24"/>
  <c r="F97" i="24"/>
  <c r="G96" i="24"/>
  <c r="F96" i="24"/>
  <c r="G95" i="24"/>
  <c r="F95" i="24"/>
  <c r="G94" i="24"/>
  <c r="F94" i="24"/>
  <c r="G93" i="24"/>
  <c r="F93" i="24"/>
  <c r="G92" i="24"/>
  <c r="F92" i="24"/>
  <c r="G91" i="24"/>
  <c r="F91" i="24"/>
  <c r="G90" i="24"/>
  <c r="F90" i="24"/>
  <c r="G89" i="24"/>
  <c r="F89" i="24"/>
  <c r="E89" i="24"/>
  <c r="G88" i="24"/>
  <c r="F88" i="24"/>
  <c r="G87" i="24"/>
  <c r="F87" i="24"/>
  <c r="G86" i="24"/>
  <c r="F86" i="24"/>
  <c r="I82" i="24"/>
  <c r="G81" i="24"/>
  <c r="F81" i="24"/>
  <c r="G80" i="24"/>
  <c r="F80" i="24"/>
  <c r="G79" i="24"/>
  <c r="F79" i="24"/>
  <c r="G78" i="24"/>
  <c r="F78" i="24"/>
  <c r="G77" i="24"/>
  <c r="F77" i="24"/>
  <c r="G76" i="24"/>
  <c r="F76" i="24"/>
  <c r="G75" i="24"/>
  <c r="F75" i="24"/>
  <c r="G74" i="24"/>
  <c r="F74" i="24"/>
  <c r="J73" i="24"/>
  <c r="I73" i="24"/>
  <c r="F73" i="24"/>
  <c r="E73" i="24"/>
  <c r="G64" i="24"/>
  <c r="F64" i="24"/>
  <c r="E64" i="24"/>
  <c r="G63" i="24"/>
  <c r="F63" i="24"/>
  <c r="E63" i="24"/>
  <c r="G62" i="24"/>
  <c r="F62" i="24"/>
  <c r="E62" i="24"/>
  <c r="G61" i="24"/>
  <c r="F61" i="24"/>
  <c r="E61" i="24"/>
  <c r="G60" i="24"/>
  <c r="F60" i="24"/>
  <c r="E60" i="24"/>
  <c r="G59" i="24"/>
  <c r="F59" i="24"/>
  <c r="E59" i="24"/>
  <c r="G58" i="24"/>
  <c r="F58" i="24"/>
  <c r="E58" i="24"/>
  <c r="I58" i="24" s="1"/>
  <c r="J58" i="24" s="1"/>
  <c r="G57" i="24"/>
  <c r="F57" i="24"/>
  <c r="E57" i="24"/>
  <c r="G56" i="24"/>
  <c r="F56" i="24"/>
  <c r="G55" i="24"/>
  <c r="F55" i="24"/>
  <c r="G54" i="24"/>
  <c r="F54" i="24"/>
  <c r="I50" i="24"/>
  <c r="G49" i="24"/>
  <c r="I49" i="24"/>
  <c r="J49" i="24" s="1"/>
  <c r="G48" i="24"/>
  <c r="F48" i="24"/>
  <c r="E48" i="24"/>
  <c r="G47" i="24"/>
  <c r="F47" i="24"/>
  <c r="E47" i="24"/>
  <c r="G46" i="24"/>
  <c r="G45" i="24"/>
  <c r="G44" i="24"/>
  <c r="G40" i="24"/>
  <c r="F40" i="24"/>
  <c r="G39" i="24"/>
  <c r="F39" i="24"/>
  <c r="G38" i="24"/>
  <c r="F38" i="24"/>
  <c r="I38" i="24" s="1"/>
  <c r="J38" i="24" s="1"/>
  <c r="G37" i="24"/>
  <c r="F37" i="24"/>
  <c r="G36" i="24"/>
  <c r="F36" i="24"/>
  <c r="G35" i="24"/>
  <c r="F35" i="24"/>
  <c r="G34" i="24"/>
  <c r="F34" i="24"/>
  <c r="G33" i="24"/>
  <c r="F33" i="24"/>
  <c r="E33" i="24"/>
  <c r="G32" i="24"/>
  <c r="F32" i="24"/>
  <c r="G31" i="24"/>
  <c r="F31" i="24"/>
  <c r="J30" i="24"/>
  <c r="I30" i="24"/>
  <c r="G30" i="24"/>
  <c r="G73" i="24" s="1"/>
  <c r="G110" i="24" s="1"/>
  <c r="G141" i="24" s="1"/>
  <c r="G168" i="24" s="1"/>
  <c r="F30" i="24"/>
  <c r="E30" i="24"/>
  <c r="I24" i="24"/>
  <c r="G22" i="24"/>
  <c r="G21" i="24"/>
  <c r="G20" i="24"/>
  <c r="I19" i="24"/>
  <c r="I17" i="24"/>
  <c r="G16" i="24"/>
  <c r="F16" i="24"/>
  <c r="G15" i="24"/>
  <c r="F15" i="24"/>
  <c r="F18" i="24" s="1"/>
  <c r="G12" i="24"/>
  <c r="G11" i="24"/>
  <c r="G10" i="24"/>
  <c r="G9" i="24"/>
  <c r="I9" i="24"/>
  <c r="J9" i="24" s="1"/>
  <c r="G8" i="24"/>
  <c r="G5" i="24"/>
  <c r="G6" i="24" s="1"/>
  <c r="F5" i="24"/>
  <c r="F6" i="24" s="1"/>
  <c r="I64" i="24" l="1"/>
  <c r="J64" i="24" s="1"/>
  <c r="H51" i="23"/>
  <c r="H163" i="23"/>
  <c r="I79" i="24"/>
  <c r="J79" i="24" s="1"/>
  <c r="I87" i="24"/>
  <c r="J87" i="24" s="1"/>
  <c r="I159" i="24"/>
  <c r="J159" i="24" s="1"/>
  <c r="H103" i="23"/>
  <c r="H133" i="23"/>
  <c r="H41" i="23"/>
  <c r="H172" i="23"/>
  <c r="H83" i="23"/>
  <c r="H106" i="23" s="1"/>
  <c r="H65" i="23"/>
  <c r="H119" i="23"/>
  <c r="F160" i="24"/>
  <c r="F23" i="24"/>
  <c r="I75" i="24"/>
  <c r="J75" i="24" s="1"/>
  <c r="I92" i="24"/>
  <c r="J92" i="24" s="1"/>
  <c r="I100" i="24"/>
  <c r="J100" i="24" s="1"/>
  <c r="I16" i="24"/>
  <c r="J16" i="24" s="1"/>
  <c r="I21" i="24"/>
  <c r="J21" i="24" s="1"/>
  <c r="I55" i="24"/>
  <c r="J55" i="24" s="1"/>
  <c r="I60" i="24"/>
  <c r="J60" i="24" s="1"/>
  <c r="I12" i="24"/>
  <c r="J12" i="24" s="1"/>
  <c r="I63" i="24"/>
  <c r="G172" i="24"/>
  <c r="G175" i="24" s="1"/>
  <c r="F41" i="24"/>
  <c r="I34" i="24"/>
  <c r="J34" i="24" s="1"/>
  <c r="I39" i="24"/>
  <c r="I45" i="24"/>
  <c r="J45" i="24" s="1"/>
  <c r="I124" i="24"/>
  <c r="J124" i="24" s="1"/>
  <c r="I5" i="24"/>
  <c r="J5" i="24" s="1"/>
  <c r="E23" i="24"/>
  <c r="I88" i="24"/>
  <c r="J88" i="24" s="1"/>
  <c r="I93" i="24"/>
  <c r="J93" i="24" s="1"/>
  <c r="I127" i="24"/>
  <c r="J127" i="24" s="1"/>
  <c r="I8" i="24"/>
  <c r="J8" i="24" s="1"/>
  <c r="E13" i="24"/>
  <c r="I37" i="24"/>
  <c r="J37" i="24" s="1"/>
  <c r="I48" i="24"/>
  <c r="F65" i="24"/>
  <c r="I57" i="24"/>
  <c r="I80" i="24"/>
  <c r="J80" i="24" s="1"/>
  <c r="I96" i="24"/>
  <c r="J96" i="24" s="1"/>
  <c r="I99" i="24"/>
  <c r="J99" i="24" s="1"/>
  <c r="I113" i="24"/>
  <c r="J113" i="24" s="1"/>
  <c r="I125" i="24"/>
  <c r="J125" i="24" s="1"/>
  <c r="I46" i="24"/>
  <c r="J46" i="24" s="1"/>
  <c r="I102" i="24"/>
  <c r="J102" i="24" s="1"/>
  <c r="G160" i="24"/>
  <c r="G163" i="24" s="1"/>
  <c r="I89" i="24"/>
  <c r="I44" i="24"/>
  <c r="J44" i="24" s="1"/>
  <c r="I76" i="24"/>
  <c r="J76" i="24" s="1"/>
  <c r="I90" i="24"/>
  <c r="J90" i="24" s="1"/>
  <c r="I95" i="24"/>
  <c r="J95" i="24" s="1"/>
  <c r="I112" i="24"/>
  <c r="J112" i="24" s="1"/>
  <c r="I94" i="24"/>
  <c r="J94" i="24" s="1"/>
  <c r="I10" i="24"/>
  <c r="J10" i="24" s="1"/>
  <c r="I36" i="24"/>
  <c r="J36" i="24" s="1"/>
  <c r="I47" i="24"/>
  <c r="I61" i="24"/>
  <c r="J61" i="24" s="1"/>
  <c r="I6" i="24"/>
  <c r="I7" i="24" s="1"/>
  <c r="I78" i="24"/>
  <c r="J78" i="24" s="1"/>
  <c r="I97" i="24"/>
  <c r="J97" i="24" s="1"/>
  <c r="I111" i="24"/>
  <c r="J111" i="24" s="1"/>
  <c r="I114" i="24"/>
  <c r="I123" i="24"/>
  <c r="J123" i="24" s="1"/>
  <c r="G133" i="24"/>
  <c r="I170" i="24"/>
  <c r="J170" i="24" s="1"/>
  <c r="E18" i="24"/>
  <c r="I18" i="24" s="1"/>
  <c r="I22" i="24"/>
  <c r="J22" i="24" s="1"/>
  <c r="I33" i="24"/>
  <c r="I35" i="24"/>
  <c r="J35" i="24" s="1"/>
  <c r="I40" i="24"/>
  <c r="J40" i="24" s="1"/>
  <c r="F51" i="24"/>
  <c r="I56" i="24"/>
  <c r="J56" i="24" s="1"/>
  <c r="I81" i="24"/>
  <c r="J81" i="24" s="1"/>
  <c r="I117" i="24"/>
  <c r="J117" i="24" s="1"/>
  <c r="I126" i="24"/>
  <c r="J126" i="24" s="1"/>
  <c r="I131" i="24"/>
  <c r="J131" i="24" s="1"/>
  <c r="I157" i="24"/>
  <c r="G119" i="24"/>
  <c r="F163" i="24"/>
  <c r="G13" i="24"/>
  <c r="I31" i="24"/>
  <c r="J31" i="24" s="1"/>
  <c r="E65" i="24"/>
  <c r="E83" i="24"/>
  <c r="I98" i="24"/>
  <c r="J98" i="24" s="1"/>
  <c r="I115" i="24"/>
  <c r="J115" i="24" s="1"/>
  <c r="I129" i="24"/>
  <c r="J129" i="24" s="1"/>
  <c r="I171" i="24"/>
  <c r="J171" i="24" s="1"/>
  <c r="G41" i="24"/>
  <c r="G65" i="24"/>
  <c r="I59" i="24"/>
  <c r="J59" i="24" s="1"/>
  <c r="I62" i="24"/>
  <c r="G83" i="24"/>
  <c r="E103" i="24"/>
  <c r="I91" i="24"/>
  <c r="J91" i="24" s="1"/>
  <c r="I101" i="24"/>
  <c r="J101" i="24" s="1"/>
  <c r="E133" i="24"/>
  <c r="I132" i="24"/>
  <c r="J132" i="24" s="1"/>
  <c r="I32" i="24"/>
  <c r="J32" i="24" s="1"/>
  <c r="G51" i="24"/>
  <c r="F83" i="24"/>
  <c r="F103" i="24"/>
  <c r="F133" i="24"/>
  <c r="I152" i="24"/>
  <c r="J152" i="24" s="1"/>
  <c r="F172" i="24"/>
  <c r="F175" i="24" s="1"/>
  <c r="E172" i="24"/>
  <c r="E175" i="24" s="1"/>
  <c r="G103" i="24"/>
  <c r="I116" i="24"/>
  <c r="J116" i="24" s="1"/>
  <c r="I130" i="24"/>
  <c r="J130" i="24" s="1"/>
  <c r="I154" i="24"/>
  <c r="J154" i="24" s="1"/>
  <c r="E51" i="24"/>
  <c r="E160" i="24"/>
  <c r="I11" i="24"/>
  <c r="J11" i="24" s="1"/>
  <c r="F13" i="24"/>
  <c r="I15" i="24"/>
  <c r="I20" i="24"/>
  <c r="I74" i="24"/>
  <c r="J74" i="24" s="1"/>
  <c r="I86" i="24"/>
  <c r="J86" i="24" s="1"/>
  <c r="F119" i="24"/>
  <c r="I77" i="24"/>
  <c r="J77" i="24" s="1"/>
  <c r="I122" i="24"/>
  <c r="J122" i="24" s="1"/>
  <c r="I54" i="24"/>
  <c r="J54" i="24" s="1"/>
  <c r="I169" i="24"/>
  <c r="J169" i="24" s="1"/>
  <c r="E119" i="24"/>
  <c r="E41" i="24"/>
  <c r="H136" i="23" l="1"/>
  <c r="H68" i="23"/>
  <c r="F68" i="24"/>
  <c r="I23" i="24"/>
  <c r="F25" i="24"/>
  <c r="I160" i="24"/>
  <c r="J160" i="24" s="1"/>
  <c r="F84" i="24"/>
  <c r="G106" i="24"/>
  <c r="I65" i="24"/>
  <c r="J65" i="24" s="1"/>
  <c r="I51" i="24"/>
  <c r="J51" i="24" s="1"/>
  <c r="F104" i="24"/>
  <c r="F66" i="24"/>
  <c r="F136" i="24"/>
  <c r="E106" i="24"/>
  <c r="I83" i="24"/>
  <c r="G84" i="24" s="1"/>
  <c r="F106" i="24"/>
  <c r="E25" i="24"/>
  <c r="J6" i="24"/>
  <c r="I172" i="24"/>
  <c r="J172" i="24" s="1"/>
  <c r="I175" i="24"/>
  <c r="J175" i="24" s="1"/>
  <c r="I133" i="24"/>
  <c r="J133" i="24" s="1"/>
  <c r="I103" i="24"/>
  <c r="E163" i="24"/>
  <c r="I163" i="24" s="1"/>
  <c r="J163" i="24" s="1"/>
  <c r="I119" i="24"/>
  <c r="E136" i="24"/>
  <c r="I41" i="24"/>
  <c r="E68" i="24"/>
  <c r="F42" i="24"/>
  <c r="G23" i="24"/>
  <c r="J20" i="24"/>
  <c r="F52" i="24"/>
  <c r="G18" i="24"/>
  <c r="J15" i="24"/>
  <c r="I13" i="24"/>
  <c r="I25" i="24" l="1"/>
  <c r="J25" i="24" s="1"/>
  <c r="I68" i="24"/>
  <c r="G69" i="24" s="1"/>
  <c r="J83" i="24"/>
  <c r="F107" i="24"/>
  <c r="G66" i="24"/>
  <c r="I136" i="24"/>
  <c r="J136" i="24" s="1"/>
  <c r="G52" i="24"/>
  <c r="I106" i="24"/>
  <c r="J106" i="24" s="1"/>
  <c r="J103" i="24"/>
  <c r="G104" i="24"/>
  <c r="F69" i="24"/>
  <c r="I14" i="24"/>
  <c r="J13" i="24"/>
  <c r="J119" i="24"/>
  <c r="G136" i="24"/>
  <c r="G68" i="24"/>
  <c r="J41" i="24"/>
  <c r="G42" i="24"/>
  <c r="G25" i="24"/>
  <c r="G107" i="24" l="1"/>
  <c r="J68" i="24"/>
  <c r="H171" i="28" l="1"/>
  <c r="I171" i="28" s="1"/>
  <c r="H170" i="28"/>
  <c r="I170" i="28" s="1"/>
  <c r="H169" i="28"/>
  <c r="I169" i="28" s="1"/>
  <c r="H159" i="28"/>
  <c r="H158" i="28"/>
  <c r="H157" i="28"/>
  <c r="I157" i="28" s="1"/>
  <c r="H153" i="28"/>
  <c r="H149" i="28"/>
  <c r="I149" i="28" s="1"/>
  <c r="H146" i="28"/>
  <c r="I146" i="28" s="1"/>
  <c r="H145" i="28"/>
  <c r="I145" i="28" s="1"/>
  <c r="H142" i="28"/>
  <c r="I142" i="28" s="1"/>
  <c r="H132" i="28"/>
  <c r="I132" i="28" s="1"/>
  <c r="H131" i="28"/>
  <c r="I131" i="28" s="1"/>
  <c r="H130" i="28"/>
  <c r="I130" i="28" s="1"/>
  <c r="H129" i="28"/>
  <c r="I129" i="28" s="1"/>
  <c r="H128" i="28"/>
  <c r="H127" i="28"/>
  <c r="I127" i="28" s="1"/>
  <c r="H126" i="28"/>
  <c r="I126" i="28" s="1"/>
  <c r="H125" i="28"/>
  <c r="I125" i="28" s="1"/>
  <c r="H124" i="28"/>
  <c r="I124" i="28" s="1"/>
  <c r="H123" i="28"/>
  <c r="I123" i="28" s="1"/>
  <c r="H122" i="28"/>
  <c r="I122" i="28" s="1"/>
  <c r="H117" i="28"/>
  <c r="I117" i="28" s="1"/>
  <c r="H116" i="28"/>
  <c r="I116" i="28" s="1"/>
  <c r="H115" i="28"/>
  <c r="I115" i="28" s="1"/>
  <c r="H113" i="28"/>
  <c r="I113" i="28" s="1"/>
  <c r="H112" i="28"/>
  <c r="I112" i="28" s="1"/>
  <c r="H111" i="28"/>
  <c r="I111" i="28" s="1"/>
  <c r="H102" i="28"/>
  <c r="I102" i="28" s="1"/>
  <c r="H101" i="28"/>
  <c r="I101" i="28" s="1"/>
  <c r="H100" i="28"/>
  <c r="I100" i="28" s="1"/>
  <c r="H99" i="28"/>
  <c r="I99" i="28" s="1"/>
  <c r="H98" i="28"/>
  <c r="I98" i="28" s="1"/>
  <c r="H97" i="28"/>
  <c r="I97" i="28" s="1"/>
  <c r="H96" i="28"/>
  <c r="I96" i="28" s="1"/>
  <c r="H94" i="28"/>
  <c r="I94" i="28" s="1"/>
  <c r="H93" i="28"/>
  <c r="I93" i="28" s="1"/>
  <c r="H92" i="28"/>
  <c r="I92" i="28" s="1"/>
  <c r="H91" i="28"/>
  <c r="I91" i="28" s="1"/>
  <c r="H90" i="28"/>
  <c r="I90" i="28" s="1"/>
  <c r="H89" i="28"/>
  <c r="H88" i="28"/>
  <c r="I88" i="28" s="1"/>
  <c r="H87" i="28"/>
  <c r="I87" i="28" s="1"/>
  <c r="H86" i="28"/>
  <c r="I86" i="28" s="1"/>
  <c r="H81" i="28"/>
  <c r="I81" i="28" s="1"/>
  <c r="H80" i="28"/>
  <c r="I80" i="28" s="1"/>
  <c r="H79" i="28"/>
  <c r="I79" i="28" s="1"/>
  <c r="H78" i="28"/>
  <c r="I78" i="28" s="1"/>
  <c r="H77" i="28"/>
  <c r="I77" i="28" s="1"/>
  <c r="H76" i="28"/>
  <c r="I76" i="28" s="1"/>
  <c r="H75" i="28"/>
  <c r="I75" i="28" s="1"/>
  <c r="H74" i="28"/>
  <c r="I74" i="28" s="1"/>
  <c r="H64" i="28"/>
  <c r="I64" i="28" s="1"/>
  <c r="H62" i="28"/>
  <c r="I62" i="28" s="1"/>
  <c r="H61" i="28"/>
  <c r="I61" i="28" s="1"/>
  <c r="H60" i="28"/>
  <c r="I60" i="28" s="1"/>
  <c r="H59" i="28"/>
  <c r="I59" i="28" s="1"/>
  <c r="H58" i="28"/>
  <c r="I58" i="28" s="1"/>
  <c r="H56" i="28"/>
  <c r="I56" i="28" s="1"/>
  <c r="H55" i="28"/>
  <c r="I55" i="28" s="1"/>
  <c r="H54" i="28"/>
  <c r="I54" i="28" s="1"/>
  <c r="H49" i="28" l="1"/>
  <c r="I49" i="28" s="1"/>
  <c r="H46" i="28"/>
  <c r="I46" i="28" s="1"/>
  <c r="H45" i="28"/>
  <c r="I45" i="28" s="1"/>
  <c r="H44" i="28"/>
  <c r="I44" i="28" s="1"/>
  <c r="H38" i="28"/>
  <c r="I38" i="28" s="1"/>
  <c r="H37" i="28"/>
  <c r="I37" i="28" s="1"/>
  <c r="H36" i="28"/>
  <c r="I36" i="28" s="1"/>
  <c r="H35" i="28"/>
  <c r="I35" i="28" s="1"/>
  <c r="H34" i="28"/>
  <c r="I34" i="28" s="1"/>
  <c r="H32" i="28"/>
  <c r="I32" i="28" s="1"/>
  <c r="H31" i="28"/>
  <c r="I31" i="28" s="1"/>
  <c r="H22" i="28"/>
  <c r="I22" i="28" s="1"/>
  <c r="H21" i="28"/>
  <c r="I21" i="28" s="1"/>
  <c r="H20" i="28"/>
  <c r="I20" i="28" s="1"/>
  <c r="D168" i="28"/>
  <c r="D160" i="28"/>
  <c r="D150" i="28"/>
  <c r="D141" i="28"/>
  <c r="D133" i="28"/>
  <c r="D119" i="28"/>
  <c r="D110" i="28"/>
  <c r="D103" i="28"/>
  <c r="D83" i="28"/>
  <c r="D73" i="28"/>
  <c r="D65" i="28"/>
  <c r="D51" i="28"/>
  <c r="D41" i="28"/>
  <c r="D30" i="28"/>
  <c r="D23" i="28"/>
  <c r="D18" i="28"/>
  <c r="H15" i="28"/>
  <c r="I15" i="28" s="1"/>
  <c r="E150" i="28"/>
  <c r="E152" i="28" s="1"/>
  <c r="D152" i="28" l="1"/>
  <c r="H150" i="28"/>
  <c r="I150" i="28" s="1"/>
  <c r="D106" i="28"/>
  <c r="D136" i="28"/>
  <c r="D68" i="28"/>
  <c r="K171" i="28"/>
  <c r="L171" i="28" s="1"/>
  <c r="K170" i="28"/>
  <c r="L170" i="28" s="1"/>
  <c r="K169" i="28"/>
  <c r="L169" i="28" s="1"/>
  <c r="E172" i="28"/>
  <c r="H12" i="28" s="1"/>
  <c r="I12" i="28" s="1"/>
  <c r="L168" i="28"/>
  <c r="K168" i="28"/>
  <c r="I168" i="28"/>
  <c r="H168" i="28"/>
  <c r="E168" i="28"/>
  <c r="K159" i="28"/>
  <c r="L159" i="28" s="1"/>
  <c r="K158" i="28"/>
  <c r="K157" i="28"/>
  <c r="K153" i="28"/>
  <c r="L153" i="28" s="1"/>
  <c r="L141" i="28"/>
  <c r="K141" i="28"/>
  <c r="I141" i="28"/>
  <c r="H141" i="28"/>
  <c r="E141" i="28"/>
  <c r="K132" i="28"/>
  <c r="L132" i="28" s="1"/>
  <c r="K131" i="28"/>
  <c r="L131" i="28" s="1"/>
  <c r="K130" i="28"/>
  <c r="L130" i="28" s="1"/>
  <c r="K129" i="28"/>
  <c r="L129" i="28" s="1"/>
  <c r="K128" i="28"/>
  <c r="L128" i="28" s="1"/>
  <c r="K127" i="28"/>
  <c r="L127" i="28" s="1"/>
  <c r="K126" i="28"/>
  <c r="L126" i="28" s="1"/>
  <c r="K125" i="28"/>
  <c r="L125" i="28" s="1"/>
  <c r="K124" i="28"/>
  <c r="L124" i="28" s="1"/>
  <c r="K122" i="28"/>
  <c r="L122" i="28" s="1"/>
  <c r="E133" i="28"/>
  <c r="H133" i="28" s="1"/>
  <c r="I133" i="28" s="1"/>
  <c r="K118" i="28"/>
  <c r="K117" i="28"/>
  <c r="L117" i="28" s="1"/>
  <c r="K116" i="28"/>
  <c r="L116" i="28" s="1"/>
  <c r="K115" i="28"/>
  <c r="L115" i="28" s="1"/>
  <c r="K114" i="28"/>
  <c r="E119" i="28"/>
  <c r="H119" i="28" s="1"/>
  <c r="I119" i="28" s="1"/>
  <c r="K113" i="28"/>
  <c r="L113" i="28" s="1"/>
  <c r="K112" i="28"/>
  <c r="L112" i="28" s="1"/>
  <c r="L110" i="28"/>
  <c r="K110" i="28"/>
  <c r="I110" i="28"/>
  <c r="H110" i="28"/>
  <c r="E110" i="28"/>
  <c r="K102" i="28"/>
  <c r="L102" i="28" s="1"/>
  <c r="K101" i="28"/>
  <c r="L101" i="28" s="1"/>
  <c r="K100" i="28"/>
  <c r="L100" i="28" s="1"/>
  <c r="K99" i="28"/>
  <c r="L99" i="28" s="1"/>
  <c r="K98" i="28"/>
  <c r="L98" i="28" s="1"/>
  <c r="K97" i="28"/>
  <c r="L97" i="28" s="1"/>
  <c r="K96" i="28"/>
  <c r="L96" i="28" s="1"/>
  <c r="K95" i="28"/>
  <c r="L95" i="28" s="1"/>
  <c r="K94" i="28"/>
  <c r="L94" i="28" s="1"/>
  <c r="K93" i="28"/>
  <c r="L93" i="28" s="1"/>
  <c r="K92" i="28"/>
  <c r="L92" i="28" s="1"/>
  <c r="K91" i="28"/>
  <c r="L91" i="28" s="1"/>
  <c r="K90" i="28"/>
  <c r="L90" i="28" s="1"/>
  <c r="K89" i="28"/>
  <c r="L89" i="28" s="1"/>
  <c r="K88" i="28"/>
  <c r="L88" i="28" s="1"/>
  <c r="K87" i="28"/>
  <c r="L87" i="28" s="1"/>
  <c r="K86" i="28"/>
  <c r="L86" i="28" s="1"/>
  <c r="E103" i="28"/>
  <c r="H103" i="28" s="1"/>
  <c r="I103" i="28" s="1"/>
  <c r="K82" i="28"/>
  <c r="K81" i="28"/>
  <c r="L81" i="28" s="1"/>
  <c r="K80" i="28"/>
  <c r="L80" i="28" s="1"/>
  <c r="K79" i="28"/>
  <c r="L79" i="28" s="1"/>
  <c r="K78" i="28"/>
  <c r="L78" i="28" s="1"/>
  <c r="K77" i="28"/>
  <c r="L77" i="28" s="1"/>
  <c r="K76" i="28"/>
  <c r="L76" i="28" s="1"/>
  <c r="K75" i="28"/>
  <c r="L75" i="28" s="1"/>
  <c r="K74" i="28"/>
  <c r="L74" i="28" s="1"/>
  <c r="L73" i="28"/>
  <c r="K73" i="28"/>
  <c r="I73" i="28"/>
  <c r="H73" i="28"/>
  <c r="E73" i="28"/>
  <c r="K64" i="28"/>
  <c r="L64" i="28" s="1"/>
  <c r="K63" i="28"/>
  <c r="K62" i="28"/>
  <c r="L62" i="28" s="1"/>
  <c r="K61" i="28"/>
  <c r="L61" i="28" s="1"/>
  <c r="K60" i="28"/>
  <c r="L60" i="28" s="1"/>
  <c r="K59" i="28"/>
  <c r="L59" i="28" s="1"/>
  <c r="K58" i="28"/>
  <c r="L58" i="28" s="1"/>
  <c r="K57" i="28"/>
  <c r="K56" i="28"/>
  <c r="L56" i="28" s="1"/>
  <c r="K55" i="28"/>
  <c r="L55" i="28" s="1"/>
  <c r="E65" i="28"/>
  <c r="H65" i="28" s="1"/>
  <c r="I65" i="28" s="1"/>
  <c r="K50" i="28"/>
  <c r="K49" i="28"/>
  <c r="L49" i="28" s="1"/>
  <c r="K48" i="28"/>
  <c r="K47" i="28"/>
  <c r="K46" i="28"/>
  <c r="L46" i="28" s="1"/>
  <c r="K45" i="28"/>
  <c r="L45" i="28" s="1"/>
  <c r="K44" i="28"/>
  <c r="L44" i="28" s="1"/>
  <c r="K40" i="28"/>
  <c r="L40" i="28" s="1"/>
  <c r="K39" i="28"/>
  <c r="K38" i="28"/>
  <c r="L38" i="28" s="1"/>
  <c r="K37" i="28"/>
  <c r="L37" i="28" s="1"/>
  <c r="K36" i="28"/>
  <c r="L36" i="28" s="1"/>
  <c r="K35" i="28"/>
  <c r="L35" i="28" s="1"/>
  <c r="K34" i="28"/>
  <c r="L34" i="28" s="1"/>
  <c r="K33" i="28"/>
  <c r="K32" i="28"/>
  <c r="L32" i="28" s="1"/>
  <c r="K31" i="28"/>
  <c r="L31" i="28" s="1"/>
  <c r="E41" i="28"/>
  <c r="E6" i="28" s="1"/>
  <c r="L30" i="28"/>
  <c r="K30" i="28"/>
  <c r="I30" i="28"/>
  <c r="H30" i="28"/>
  <c r="E30" i="28"/>
  <c r="K24" i="28"/>
  <c r="K22" i="28"/>
  <c r="L22" i="28" s="1"/>
  <c r="K21" i="28"/>
  <c r="L21" i="28" s="1"/>
  <c r="K20" i="28"/>
  <c r="L20" i="28" s="1"/>
  <c r="K19" i="28"/>
  <c r="K17" i="28"/>
  <c r="K16" i="28"/>
  <c r="L16" i="28" s="1"/>
  <c r="K18" i="28"/>
  <c r="K12" i="28"/>
  <c r="L12" i="28" s="1"/>
  <c r="H172" i="28" l="1"/>
  <c r="I172" i="28" s="1"/>
  <c r="D154" i="28"/>
  <c r="H152" i="28"/>
  <c r="I152" i="28" s="1"/>
  <c r="D6" i="28"/>
  <c r="H6" i="28" s="1"/>
  <c r="I6" i="28" s="1"/>
  <c r="H5" i="28"/>
  <c r="I5" i="28" s="1"/>
  <c r="H41" i="28"/>
  <c r="I41" i="28" s="1"/>
  <c r="K51" i="28"/>
  <c r="L51" i="28" s="1"/>
  <c r="K8" i="28"/>
  <c r="L8" i="28" s="1"/>
  <c r="K5" i="28"/>
  <c r="L5" i="28" s="1"/>
  <c r="K15" i="28"/>
  <c r="L15" i="28" s="1"/>
  <c r="K65" i="28"/>
  <c r="L65" i="28" s="1"/>
  <c r="E136" i="28"/>
  <c r="K119" i="28"/>
  <c r="L119" i="28" s="1"/>
  <c r="K10" i="28"/>
  <c r="L10" i="28" s="1"/>
  <c r="K103" i="28"/>
  <c r="L103" i="28" s="1"/>
  <c r="K133" i="28"/>
  <c r="L133" i="28" s="1"/>
  <c r="K154" i="28"/>
  <c r="L154" i="28" s="1"/>
  <c r="K172" i="28"/>
  <c r="L172" i="28" s="1"/>
  <c r="E23" i="28"/>
  <c r="K152" i="28"/>
  <c r="L152" i="28" s="1"/>
  <c r="E160" i="28"/>
  <c r="H160" i="28" s="1"/>
  <c r="I160" i="28" s="1"/>
  <c r="K23" i="28"/>
  <c r="E83" i="28"/>
  <c r="H83" i="28" s="1"/>
  <c r="I83" i="28" s="1"/>
  <c r="K160" i="28"/>
  <c r="L160" i="28" s="1"/>
  <c r="K111" i="28"/>
  <c r="L111" i="28" s="1"/>
  <c r="K123" i="28"/>
  <c r="L123" i="28" s="1"/>
  <c r="E51" i="28"/>
  <c r="H51" i="28" s="1"/>
  <c r="I51" i="28" s="1"/>
  <c r="K54" i="28"/>
  <c r="L54" i="28" s="1"/>
  <c r="E154" i="28"/>
  <c r="H136" i="28" l="1"/>
  <c r="I136" i="28" s="1"/>
  <c r="H10" i="28"/>
  <c r="I10" i="28" s="1"/>
  <c r="D163" i="28"/>
  <c r="H154" i="28"/>
  <c r="I154" i="28" s="1"/>
  <c r="H8" i="28"/>
  <c r="I8" i="28" s="1"/>
  <c r="K41" i="28"/>
  <c r="L41" i="28" s="1"/>
  <c r="K68" i="28"/>
  <c r="L68" i="28" s="1"/>
  <c r="K136" i="28"/>
  <c r="L136" i="28" s="1"/>
  <c r="K83" i="28"/>
  <c r="L83" i="28" s="1"/>
  <c r="E163" i="28"/>
  <c r="E106" i="28"/>
  <c r="E68" i="28"/>
  <c r="H68" i="28" s="1"/>
  <c r="I68" i="28" s="1"/>
  <c r="H9" i="28" l="1"/>
  <c r="I9" i="28" s="1"/>
  <c r="H106" i="28"/>
  <c r="I106" i="28" s="1"/>
  <c r="H163" i="28"/>
  <c r="I163" i="28" s="1"/>
  <c r="K163" i="28"/>
  <c r="L163" i="28" s="1"/>
  <c r="K11" i="28"/>
  <c r="L11" i="28" s="1"/>
  <c r="E13" i="28"/>
  <c r="K106" i="28"/>
  <c r="L106" i="28" s="1"/>
  <c r="K6" i="28"/>
  <c r="M171" i="23"/>
  <c r="N171" i="23" s="1"/>
  <c r="D171" i="23"/>
  <c r="D170" i="23"/>
  <c r="M169" i="23"/>
  <c r="N169" i="23" s="1"/>
  <c r="D169" i="23"/>
  <c r="N168" i="23"/>
  <c r="M168" i="23"/>
  <c r="K168" i="23"/>
  <c r="J168" i="23"/>
  <c r="F168" i="23"/>
  <c r="E168" i="23"/>
  <c r="D168" i="23"/>
  <c r="M159" i="23"/>
  <c r="N159" i="23" s="1"/>
  <c r="D159" i="23"/>
  <c r="M158" i="23"/>
  <c r="J158" i="23"/>
  <c r="M157" i="23"/>
  <c r="D157" i="23"/>
  <c r="M153" i="23"/>
  <c r="N153" i="23" s="1"/>
  <c r="J153" i="23"/>
  <c r="K153" i="23" s="1"/>
  <c r="F154" i="23"/>
  <c r="E154" i="23"/>
  <c r="D152" i="23"/>
  <c r="J152" i="23" s="1"/>
  <c r="K152" i="23" s="1"/>
  <c r="N141" i="23"/>
  <c r="M141" i="23"/>
  <c r="K141" i="23"/>
  <c r="J141" i="23"/>
  <c r="F141" i="23"/>
  <c r="E141" i="23"/>
  <c r="D141" i="23"/>
  <c r="D132" i="23"/>
  <c r="M131" i="23"/>
  <c r="N131" i="23" s="1"/>
  <c r="D131" i="23"/>
  <c r="J131" i="23" s="1"/>
  <c r="K131" i="23" s="1"/>
  <c r="M130" i="23"/>
  <c r="N130" i="23" s="1"/>
  <c r="D130" i="23"/>
  <c r="D129" i="23"/>
  <c r="J129" i="23" s="1"/>
  <c r="K129" i="23" s="1"/>
  <c r="M128" i="23"/>
  <c r="D128" i="23"/>
  <c r="J128" i="23" s="1"/>
  <c r="K128" i="23" s="1"/>
  <c r="M127" i="23"/>
  <c r="N127" i="23" s="1"/>
  <c r="D127" i="23"/>
  <c r="D126" i="23"/>
  <c r="D125" i="23"/>
  <c r="J125" i="23" s="1"/>
  <c r="K125" i="23" s="1"/>
  <c r="M124" i="23"/>
  <c r="N124" i="23" s="1"/>
  <c r="D124" i="23"/>
  <c r="D123" i="23"/>
  <c r="D122" i="23"/>
  <c r="M118" i="23"/>
  <c r="J118" i="23"/>
  <c r="D117" i="23"/>
  <c r="J117" i="23" s="1"/>
  <c r="K117" i="23" s="1"/>
  <c r="D116" i="23"/>
  <c r="D115" i="23"/>
  <c r="J115" i="23" s="1"/>
  <c r="K115" i="23" s="1"/>
  <c r="E114" i="23"/>
  <c r="D114" i="23"/>
  <c r="D113" i="23"/>
  <c r="M112" i="23"/>
  <c r="N112" i="23" s="1"/>
  <c r="D112" i="23"/>
  <c r="D111" i="23"/>
  <c r="N110" i="23"/>
  <c r="M110" i="23"/>
  <c r="K110" i="23"/>
  <c r="J110" i="23"/>
  <c r="F110" i="23"/>
  <c r="E110" i="23"/>
  <c r="D110" i="23"/>
  <c r="D102" i="23"/>
  <c r="J102" i="23" s="1"/>
  <c r="K102" i="23" s="1"/>
  <c r="M101" i="23"/>
  <c r="N101" i="23" s="1"/>
  <c r="D101" i="23"/>
  <c r="D100" i="23"/>
  <c r="J100" i="23" s="1"/>
  <c r="K100" i="23" s="1"/>
  <c r="D99" i="23"/>
  <c r="J99" i="23" s="1"/>
  <c r="K99" i="23" s="1"/>
  <c r="D98" i="23"/>
  <c r="J98" i="23" s="1"/>
  <c r="K98" i="23" s="1"/>
  <c r="D97" i="23"/>
  <c r="D96" i="23"/>
  <c r="D95" i="23"/>
  <c r="D94" i="23"/>
  <c r="J94" i="23" s="1"/>
  <c r="K94" i="23" s="1"/>
  <c r="M93" i="23"/>
  <c r="N93" i="23" s="1"/>
  <c r="D93" i="23"/>
  <c r="M92" i="23"/>
  <c r="N92" i="23" s="1"/>
  <c r="D92" i="23"/>
  <c r="D91" i="23"/>
  <c r="J91" i="23" s="1"/>
  <c r="K91" i="23" s="1"/>
  <c r="D90" i="23"/>
  <c r="D89" i="23"/>
  <c r="M88" i="23"/>
  <c r="N88" i="23" s="1"/>
  <c r="D88" i="23"/>
  <c r="D87" i="23"/>
  <c r="D86" i="23"/>
  <c r="J86" i="23" s="1"/>
  <c r="K86" i="23" s="1"/>
  <c r="M82" i="23"/>
  <c r="J82" i="23"/>
  <c r="M81" i="23"/>
  <c r="N81" i="23" s="1"/>
  <c r="D81" i="23"/>
  <c r="J81" i="23" s="1"/>
  <c r="K81" i="23" s="1"/>
  <c r="M80" i="23"/>
  <c r="N80" i="23" s="1"/>
  <c r="D80" i="23"/>
  <c r="J80" i="23" s="1"/>
  <c r="K80" i="23" s="1"/>
  <c r="M79" i="23"/>
  <c r="N79" i="23" s="1"/>
  <c r="D79" i="23"/>
  <c r="D78" i="23"/>
  <c r="J78" i="23" s="1"/>
  <c r="K78" i="23" s="1"/>
  <c r="M77" i="23"/>
  <c r="N77" i="23" s="1"/>
  <c r="D77" i="23"/>
  <c r="M76" i="23"/>
  <c r="N76" i="23" s="1"/>
  <c r="D76" i="23"/>
  <c r="D75" i="23"/>
  <c r="D74" i="23"/>
  <c r="J74" i="23" s="1"/>
  <c r="K74" i="23" s="1"/>
  <c r="N73" i="23"/>
  <c r="M73" i="23"/>
  <c r="K73" i="23"/>
  <c r="J73" i="23"/>
  <c r="F73" i="23"/>
  <c r="E73" i="23"/>
  <c r="D73" i="23"/>
  <c r="M64" i="23"/>
  <c r="N64" i="23" s="1"/>
  <c r="D64" i="23"/>
  <c r="J64" i="23" s="1"/>
  <c r="K64" i="23" s="1"/>
  <c r="M63" i="23"/>
  <c r="D63" i="23"/>
  <c r="D62" i="23"/>
  <c r="J62" i="23" s="1"/>
  <c r="K62" i="23" s="1"/>
  <c r="M61" i="23"/>
  <c r="N61" i="23" s="1"/>
  <c r="D61" i="23"/>
  <c r="M60" i="23"/>
  <c r="N60" i="23" s="1"/>
  <c r="D60" i="23"/>
  <c r="J60" i="23" s="1"/>
  <c r="K60" i="23" s="1"/>
  <c r="M59" i="23"/>
  <c r="N59" i="23" s="1"/>
  <c r="D59" i="23"/>
  <c r="M58" i="23"/>
  <c r="N58" i="23" s="1"/>
  <c r="D58" i="23"/>
  <c r="M57" i="23"/>
  <c r="D57" i="23"/>
  <c r="M56" i="23"/>
  <c r="N56" i="23" s="1"/>
  <c r="D56" i="23"/>
  <c r="D55" i="23"/>
  <c r="J55" i="23" s="1"/>
  <c r="K55" i="23" s="1"/>
  <c r="D54" i="23"/>
  <c r="M50" i="23"/>
  <c r="J50" i="23"/>
  <c r="D49" i="23"/>
  <c r="J49" i="23" s="1"/>
  <c r="K49" i="23" s="1"/>
  <c r="D48" i="23"/>
  <c r="J48" i="23" s="1"/>
  <c r="D47" i="23"/>
  <c r="M46" i="23"/>
  <c r="N46" i="23" s="1"/>
  <c r="D46" i="23"/>
  <c r="M45" i="23"/>
  <c r="N45" i="23" s="1"/>
  <c r="D45" i="23"/>
  <c r="M44" i="23"/>
  <c r="N44" i="23" s="1"/>
  <c r="D44" i="23"/>
  <c r="J44" i="23" s="1"/>
  <c r="K44" i="23" s="1"/>
  <c r="M40" i="23"/>
  <c r="N40" i="23" s="1"/>
  <c r="D40" i="23"/>
  <c r="D39" i="23"/>
  <c r="J39" i="23" s="1"/>
  <c r="M38" i="23"/>
  <c r="N38" i="23" s="1"/>
  <c r="D38" i="23"/>
  <c r="D37" i="23"/>
  <c r="J37" i="23" s="1"/>
  <c r="K37" i="23" s="1"/>
  <c r="D36" i="23"/>
  <c r="J36" i="23" s="1"/>
  <c r="K36" i="23" s="1"/>
  <c r="M35" i="23"/>
  <c r="N35" i="23" s="1"/>
  <c r="D35" i="23"/>
  <c r="J35" i="23" s="1"/>
  <c r="K35" i="23" s="1"/>
  <c r="D34" i="23"/>
  <c r="M33" i="23"/>
  <c r="D33" i="23"/>
  <c r="J33" i="23" s="1"/>
  <c r="M32" i="23"/>
  <c r="N32" i="23" s="1"/>
  <c r="D32" i="23"/>
  <c r="F41" i="23"/>
  <c r="D31" i="23"/>
  <c r="N30" i="23"/>
  <c r="M30" i="23"/>
  <c r="K30" i="23"/>
  <c r="J30" i="23"/>
  <c r="F30" i="23"/>
  <c r="E30" i="23"/>
  <c r="D30" i="23"/>
  <c r="M24" i="23"/>
  <c r="J24" i="23"/>
  <c r="D22" i="23"/>
  <c r="J22" i="23" s="1"/>
  <c r="K22" i="23" s="1"/>
  <c r="M21" i="23"/>
  <c r="N21" i="23" s="1"/>
  <c r="D21" i="23"/>
  <c r="J21" i="23" s="1"/>
  <c r="K21" i="23" s="1"/>
  <c r="D20" i="23"/>
  <c r="M19" i="23"/>
  <c r="J19" i="23"/>
  <c r="M17" i="23"/>
  <c r="J17" i="23"/>
  <c r="D15" i="23"/>
  <c r="C10" i="22"/>
  <c r="J6" i="22"/>
  <c r="M114" i="23" l="1"/>
  <c r="J20" i="23"/>
  <c r="K20" i="23" s="1"/>
  <c r="F23" i="23"/>
  <c r="J15" i="23"/>
  <c r="K15" i="23" s="1"/>
  <c r="J97" i="23"/>
  <c r="K97" i="23" s="1"/>
  <c r="H11" i="28"/>
  <c r="I11" i="28" s="1"/>
  <c r="D13" i="28"/>
  <c r="M36" i="23"/>
  <c r="N36" i="23" s="1"/>
  <c r="M47" i="23"/>
  <c r="J57" i="23"/>
  <c r="J88" i="23"/>
  <c r="K88" i="23" s="1"/>
  <c r="M97" i="23"/>
  <c r="N97" i="23" s="1"/>
  <c r="J116" i="23"/>
  <c r="K116" i="23" s="1"/>
  <c r="F160" i="23"/>
  <c r="F163" i="23" s="1"/>
  <c r="M170" i="23"/>
  <c r="N170" i="23" s="1"/>
  <c r="J45" i="23"/>
  <c r="K45" i="23" s="1"/>
  <c r="J89" i="23"/>
  <c r="K89" i="23" s="1"/>
  <c r="J34" i="23"/>
  <c r="K34" i="23" s="1"/>
  <c r="J40" i="23"/>
  <c r="K40" i="23" s="1"/>
  <c r="J46" i="23"/>
  <c r="K46" i="23" s="1"/>
  <c r="M49" i="23"/>
  <c r="N49" i="23" s="1"/>
  <c r="J59" i="23"/>
  <c r="K59" i="23" s="1"/>
  <c r="J77" i="23"/>
  <c r="K77" i="23" s="1"/>
  <c r="J90" i="23"/>
  <c r="K90" i="23" s="1"/>
  <c r="J93" i="23"/>
  <c r="K93" i="23" s="1"/>
  <c r="M96" i="23"/>
  <c r="N96" i="23" s="1"/>
  <c r="M99" i="23"/>
  <c r="N99" i="23" s="1"/>
  <c r="M102" i="23"/>
  <c r="N102" i="23" s="1"/>
  <c r="M129" i="23"/>
  <c r="N129" i="23" s="1"/>
  <c r="M34" i="23"/>
  <c r="N34" i="23" s="1"/>
  <c r="M37" i="23"/>
  <c r="N37" i="23" s="1"/>
  <c r="M48" i="23"/>
  <c r="M87" i="23"/>
  <c r="N87" i="23" s="1"/>
  <c r="J95" i="23"/>
  <c r="K95" i="23" s="1"/>
  <c r="J112" i="23"/>
  <c r="K112" i="23" s="1"/>
  <c r="M115" i="23"/>
  <c r="N115" i="23" s="1"/>
  <c r="M125" i="23"/>
  <c r="N125" i="23" s="1"/>
  <c r="J159" i="23"/>
  <c r="K159" i="23" s="1"/>
  <c r="F172" i="23"/>
  <c r="J171" i="23"/>
  <c r="K171" i="23" s="1"/>
  <c r="K9" i="28"/>
  <c r="L9" i="28" s="1"/>
  <c r="L6" i="28"/>
  <c r="K7" i="28"/>
  <c r="D133" i="23"/>
  <c r="D154" i="23"/>
  <c r="J54" i="23"/>
  <c r="K54" i="23" s="1"/>
  <c r="D119" i="23"/>
  <c r="E133" i="23"/>
  <c r="M123" i="23"/>
  <c r="N123" i="23" s="1"/>
  <c r="J32" i="23"/>
  <c r="K32" i="23" s="1"/>
  <c r="F65" i="23"/>
  <c r="J56" i="23"/>
  <c r="K56" i="23" s="1"/>
  <c r="J63" i="23"/>
  <c r="J75" i="23"/>
  <c r="K75" i="23" s="1"/>
  <c r="M78" i="23"/>
  <c r="N78" i="23" s="1"/>
  <c r="J87" i="23"/>
  <c r="K87" i="23" s="1"/>
  <c r="J92" i="23"/>
  <c r="K92" i="23" s="1"/>
  <c r="M95" i="23"/>
  <c r="M100" i="23"/>
  <c r="N100" i="23" s="1"/>
  <c r="E119" i="23"/>
  <c r="J114" i="23"/>
  <c r="M117" i="23"/>
  <c r="N117" i="23" s="1"/>
  <c r="F133" i="23"/>
  <c r="J127" i="23"/>
  <c r="K127" i="23" s="1"/>
  <c r="M132" i="23"/>
  <c r="N132" i="23" s="1"/>
  <c r="J157" i="23"/>
  <c r="F119" i="23"/>
  <c r="J130" i="23"/>
  <c r="K130" i="23" s="1"/>
  <c r="E23" i="23"/>
  <c r="M39" i="23"/>
  <c r="D83" i="23"/>
  <c r="M75" i="23"/>
  <c r="N75" i="23" s="1"/>
  <c r="M89" i="23"/>
  <c r="D65" i="23"/>
  <c r="D41" i="23"/>
  <c r="E83" i="23"/>
  <c r="M91" i="23"/>
  <c r="N91" i="23" s="1"/>
  <c r="M94" i="23"/>
  <c r="N94" i="23" s="1"/>
  <c r="M98" i="23"/>
  <c r="N98" i="23" s="1"/>
  <c r="J113" i="23"/>
  <c r="K113" i="23" s="1"/>
  <c r="M116" i="23"/>
  <c r="N116" i="23" s="1"/>
  <c r="J122" i="23"/>
  <c r="K122" i="23" s="1"/>
  <c r="J126" i="23"/>
  <c r="K126" i="23" s="1"/>
  <c r="M15" i="23"/>
  <c r="N15" i="23" s="1"/>
  <c r="M22" i="23"/>
  <c r="N22" i="23" s="1"/>
  <c r="E41" i="23"/>
  <c r="M41" i="23" s="1"/>
  <c r="N41" i="23" s="1"/>
  <c r="J38" i="23"/>
  <c r="K38" i="23" s="1"/>
  <c r="E51" i="23"/>
  <c r="J47" i="23"/>
  <c r="M55" i="23"/>
  <c r="N55" i="23" s="1"/>
  <c r="J58" i="23"/>
  <c r="K58" i="23" s="1"/>
  <c r="M62" i="23"/>
  <c r="N62" i="23" s="1"/>
  <c r="F83" i="23"/>
  <c r="J79" i="23"/>
  <c r="K79" i="23" s="1"/>
  <c r="M86" i="23"/>
  <c r="N86" i="23" s="1"/>
  <c r="M90" i="23"/>
  <c r="N90" i="23" s="1"/>
  <c r="J96" i="23"/>
  <c r="K96" i="23" s="1"/>
  <c r="J101" i="23"/>
  <c r="K101" i="23" s="1"/>
  <c r="J111" i="23"/>
  <c r="K111" i="23" s="1"/>
  <c r="M113" i="23"/>
  <c r="N113" i="23" s="1"/>
  <c r="J123" i="23"/>
  <c r="K123" i="23" s="1"/>
  <c r="M126" i="23"/>
  <c r="N126" i="23" s="1"/>
  <c r="D172" i="23"/>
  <c r="M154" i="23"/>
  <c r="N154" i="23" s="1"/>
  <c r="J154" i="23"/>
  <c r="K154" i="23" s="1"/>
  <c r="M20" i="23"/>
  <c r="N20" i="23" s="1"/>
  <c r="D103" i="23"/>
  <c r="M152" i="23"/>
  <c r="N152" i="23" s="1"/>
  <c r="E172" i="23"/>
  <c r="D51" i="23"/>
  <c r="M54" i="23"/>
  <c r="N54" i="23" s="1"/>
  <c r="E103" i="23"/>
  <c r="D160" i="23"/>
  <c r="J169" i="23"/>
  <c r="K169" i="23" s="1"/>
  <c r="E65" i="23"/>
  <c r="M111" i="23"/>
  <c r="N111" i="23" s="1"/>
  <c r="M122" i="23"/>
  <c r="N122" i="23" s="1"/>
  <c r="J124" i="23"/>
  <c r="K124" i="23" s="1"/>
  <c r="J132" i="23"/>
  <c r="K132" i="23" s="1"/>
  <c r="J170" i="23"/>
  <c r="K170" i="23" s="1"/>
  <c r="J31" i="23"/>
  <c r="K31" i="23" s="1"/>
  <c r="F51" i="23"/>
  <c r="M74" i="23"/>
  <c r="N74" i="23" s="1"/>
  <c r="J76" i="23"/>
  <c r="K76" i="23" s="1"/>
  <c r="D23" i="23"/>
  <c r="J61" i="23"/>
  <c r="K61" i="23" s="1"/>
  <c r="M31" i="23"/>
  <c r="N31" i="23" s="1"/>
  <c r="M23" i="23" l="1"/>
  <c r="J133" i="23"/>
  <c r="K133" i="23" s="1"/>
  <c r="F68" i="23"/>
  <c r="D68" i="23"/>
  <c r="M119" i="23"/>
  <c r="N119" i="23" s="1"/>
  <c r="J23" i="23"/>
  <c r="J51" i="23"/>
  <c r="K51" i="23" s="1"/>
  <c r="M65" i="23"/>
  <c r="N65" i="23" s="1"/>
  <c r="J83" i="23"/>
  <c r="K83" i="23" s="1"/>
  <c r="E136" i="23"/>
  <c r="M160" i="23"/>
  <c r="N160" i="23" s="1"/>
  <c r="M172" i="23"/>
  <c r="N172" i="23" s="1"/>
  <c r="M103" i="23"/>
  <c r="N103" i="23" s="1"/>
  <c r="F106" i="23"/>
  <c r="F136" i="23"/>
  <c r="H13" i="28"/>
  <c r="I13" i="28" s="1"/>
  <c r="D25" i="28"/>
  <c r="D136" i="23"/>
  <c r="K13" i="28"/>
  <c r="J41" i="23"/>
  <c r="K41" i="23" s="1"/>
  <c r="J119" i="23"/>
  <c r="K119" i="23" s="1"/>
  <c r="M51" i="23"/>
  <c r="N51" i="23" s="1"/>
  <c r="E106" i="23"/>
  <c r="J103" i="23"/>
  <c r="K103" i="23" s="1"/>
  <c r="M83" i="23"/>
  <c r="N83" i="23" s="1"/>
  <c r="M133" i="23"/>
  <c r="N133" i="23" s="1"/>
  <c r="D106" i="23"/>
  <c r="J160" i="23"/>
  <c r="K160" i="23" s="1"/>
  <c r="J172" i="23"/>
  <c r="K172" i="23" s="1"/>
  <c r="D163" i="23"/>
  <c r="E68" i="23"/>
  <c r="E163" i="23"/>
  <c r="M163" i="23" s="1"/>
  <c r="N163" i="23" s="1"/>
  <c r="J65" i="23"/>
  <c r="K65" i="23" s="1"/>
  <c r="M68" i="23" l="1"/>
  <c r="N68" i="23" s="1"/>
  <c r="J136" i="23"/>
  <c r="K136" i="23" s="1"/>
  <c r="M136" i="23"/>
  <c r="N136" i="23" s="1"/>
  <c r="M106" i="23"/>
  <c r="N106" i="23" s="1"/>
  <c r="J68" i="23"/>
  <c r="K68" i="23" s="1"/>
  <c r="J106" i="23"/>
  <c r="K106" i="23" s="1"/>
  <c r="J163" i="23"/>
  <c r="K163" i="23" s="1"/>
  <c r="L13" i="28"/>
  <c r="K14" i="28"/>
  <c r="K25" i="28"/>
  <c r="E73" i="2"/>
  <c r="F73" i="2"/>
  <c r="G73" i="2"/>
  <c r="H73" i="2"/>
  <c r="E30" i="2" l="1"/>
  <c r="F30" i="2"/>
  <c r="G30" i="2"/>
  <c r="H30" i="2"/>
  <c r="E168" i="2"/>
  <c r="F168" i="2"/>
  <c r="G168" i="2"/>
  <c r="H168" i="2"/>
  <c r="E141" i="2"/>
  <c r="F141" i="2"/>
  <c r="G141" i="2"/>
  <c r="H141" i="2"/>
  <c r="E110" i="2"/>
  <c r="F110" i="2"/>
  <c r="G110" i="2"/>
  <c r="H110" i="2"/>
  <c r="M158" i="2"/>
  <c r="M153" i="2"/>
  <c r="N153" i="2" s="1"/>
  <c r="M118" i="2"/>
  <c r="M82" i="2"/>
  <c r="M50" i="2"/>
  <c r="M24" i="2"/>
  <c r="M19" i="2"/>
  <c r="M17" i="2"/>
  <c r="N168" i="2"/>
  <c r="M168" i="2"/>
  <c r="N141" i="2"/>
  <c r="M141" i="2"/>
  <c r="N110" i="2"/>
  <c r="M110" i="2"/>
  <c r="N73" i="2"/>
  <c r="M73" i="2"/>
  <c r="N30" i="2"/>
  <c r="M30" i="2"/>
  <c r="F171" i="2"/>
  <c r="F170" i="2"/>
  <c r="F169" i="2"/>
  <c r="F159" i="2"/>
  <c r="F157" i="2"/>
  <c r="F160" i="2" s="1"/>
  <c r="F152" i="2"/>
  <c r="F154" i="2" s="1"/>
  <c r="F132" i="2"/>
  <c r="F131" i="2"/>
  <c r="F130" i="2"/>
  <c r="F129" i="2"/>
  <c r="F128" i="2"/>
  <c r="F127" i="2"/>
  <c r="F126" i="2"/>
  <c r="F125" i="2"/>
  <c r="F124" i="2"/>
  <c r="F123" i="2"/>
  <c r="F122" i="2"/>
  <c r="F117" i="2"/>
  <c r="F116" i="2"/>
  <c r="F115" i="2"/>
  <c r="F114" i="2"/>
  <c r="F113" i="2"/>
  <c r="F112" i="2"/>
  <c r="F111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1" i="2"/>
  <c r="F80" i="2"/>
  <c r="F79" i="2"/>
  <c r="F78" i="2"/>
  <c r="F77" i="2"/>
  <c r="F76" i="2"/>
  <c r="F75" i="2"/>
  <c r="F74" i="2"/>
  <c r="M74" i="2" s="1"/>
  <c r="N74" i="2" s="1"/>
  <c r="F64" i="2"/>
  <c r="F63" i="2"/>
  <c r="F62" i="2"/>
  <c r="F61" i="2"/>
  <c r="F60" i="2"/>
  <c r="F59" i="2"/>
  <c r="F58" i="2"/>
  <c r="F57" i="2"/>
  <c r="F56" i="2"/>
  <c r="F55" i="2"/>
  <c r="F54" i="2"/>
  <c r="F49" i="2"/>
  <c r="F48" i="2"/>
  <c r="F47" i="2"/>
  <c r="F46" i="2"/>
  <c r="F45" i="2"/>
  <c r="F44" i="2"/>
  <c r="F40" i="2"/>
  <c r="F39" i="2"/>
  <c r="F38" i="2"/>
  <c r="F37" i="2"/>
  <c r="F36" i="2"/>
  <c r="F35" i="2"/>
  <c r="F34" i="2"/>
  <c r="F33" i="2"/>
  <c r="F32" i="2"/>
  <c r="F31" i="2"/>
  <c r="F22" i="2"/>
  <c r="F21" i="2"/>
  <c r="F20" i="2"/>
  <c r="F16" i="2"/>
  <c r="F15" i="2"/>
  <c r="F12" i="2"/>
  <c r="F11" i="2"/>
  <c r="F10" i="2"/>
  <c r="F9" i="2"/>
  <c r="F8" i="2"/>
  <c r="F5" i="2"/>
  <c r="F6" i="2" s="1"/>
  <c r="H171" i="2"/>
  <c r="H170" i="2"/>
  <c r="H169" i="2"/>
  <c r="H159" i="2"/>
  <c r="H152" i="2"/>
  <c r="H154" i="2" s="1"/>
  <c r="H132" i="2"/>
  <c r="H131" i="2"/>
  <c r="H130" i="2"/>
  <c r="H129" i="2"/>
  <c r="H128" i="2"/>
  <c r="H127" i="2"/>
  <c r="H126" i="2"/>
  <c r="H125" i="2"/>
  <c r="H124" i="2"/>
  <c r="H123" i="2"/>
  <c r="H122" i="2"/>
  <c r="H117" i="2"/>
  <c r="H116" i="2"/>
  <c r="H115" i="2"/>
  <c r="H114" i="2"/>
  <c r="H113" i="2"/>
  <c r="H112" i="2"/>
  <c r="H111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1" i="2"/>
  <c r="H80" i="2"/>
  <c r="H79" i="2"/>
  <c r="H78" i="2"/>
  <c r="H77" i="2"/>
  <c r="H76" i="2"/>
  <c r="H75" i="2"/>
  <c r="H74" i="2"/>
  <c r="H63" i="2"/>
  <c r="H62" i="2"/>
  <c r="H61" i="2"/>
  <c r="H60" i="2"/>
  <c r="H59" i="2"/>
  <c r="H58" i="2"/>
  <c r="H57" i="2"/>
  <c r="H56" i="2"/>
  <c r="H55" i="2"/>
  <c r="H54" i="2"/>
  <c r="H49" i="2"/>
  <c r="H48" i="2"/>
  <c r="H46" i="2"/>
  <c r="H45" i="2"/>
  <c r="H44" i="2"/>
  <c r="H40" i="2"/>
  <c r="H39" i="2"/>
  <c r="H38" i="2"/>
  <c r="H37" i="2"/>
  <c r="H36" i="2"/>
  <c r="H35" i="2"/>
  <c r="H34" i="2"/>
  <c r="H33" i="2"/>
  <c r="H32" i="2"/>
  <c r="H31" i="2"/>
  <c r="H22" i="2"/>
  <c r="H21" i="2"/>
  <c r="H20" i="2"/>
  <c r="H16" i="2"/>
  <c r="H15" i="2"/>
  <c r="H12" i="2"/>
  <c r="H11" i="2"/>
  <c r="H10" i="2"/>
  <c r="H9" i="2"/>
  <c r="H8" i="2"/>
  <c r="H5" i="2"/>
  <c r="H6" i="2" s="1"/>
  <c r="K5" i="1"/>
  <c r="E16" i="1"/>
  <c r="H16" i="23" s="1"/>
  <c r="D16" i="1"/>
  <c r="K30" i="2"/>
  <c r="J30" i="2"/>
  <c r="K73" i="2"/>
  <c r="J73" i="2"/>
  <c r="K110" i="2"/>
  <c r="J110" i="2"/>
  <c r="K141" i="2"/>
  <c r="J141" i="2"/>
  <c r="K168" i="2"/>
  <c r="J168" i="2"/>
  <c r="G171" i="2"/>
  <c r="G170" i="2"/>
  <c r="G169" i="2"/>
  <c r="G159" i="2"/>
  <c r="G157" i="2"/>
  <c r="G152" i="2"/>
  <c r="G154" i="2" s="1"/>
  <c r="G132" i="2"/>
  <c r="G131" i="2"/>
  <c r="G130" i="2"/>
  <c r="G129" i="2"/>
  <c r="G128" i="2"/>
  <c r="G127" i="2"/>
  <c r="G126" i="2"/>
  <c r="G125" i="2"/>
  <c r="G124" i="2"/>
  <c r="G123" i="2"/>
  <c r="G122" i="2"/>
  <c r="G117" i="2"/>
  <c r="G116" i="2"/>
  <c r="G115" i="2"/>
  <c r="G114" i="2"/>
  <c r="G113" i="2"/>
  <c r="G112" i="2"/>
  <c r="G111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1" i="2"/>
  <c r="G80" i="2"/>
  <c r="G79" i="2"/>
  <c r="G78" i="2"/>
  <c r="G77" i="2"/>
  <c r="G76" i="2"/>
  <c r="G75" i="2"/>
  <c r="G74" i="2"/>
  <c r="G64" i="2"/>
  <c r="G63" i="2"/>
  <c r="G62" i="2"/>
  <c r="G61" i="2"/>
  <c r="G60" i="2"/>
  <c r="G59" i="2"/>
  <c r="G58" i="2"/>
  <c r="G57" i="2"/>
  <c r="G56" i="2"/>
  <c r="G55" i="2"/>
  <c r="G54" i="2"/>
  <c r="G49" i="2"/>
  <c r="G48" i="2"/>
  <c r="G47" i="2"/>
  <c r="G46" i="2"/>
  <c r="G45" i="2"/>
  <c r="G44" i="2"/>
  <c r="G40" i="2"/>
  <c r="G39" i="2"/>
  <c r="G38" i="2"/>
  <c r="G37" i="2"/>
  <c r="G36" i="2"/>
  <c r="G35" i="2"/>
  <c r="G34" i="2"/>
  <c r="G33" i="2"/>
  <c r="G32" i="2"/>
  <c r="G31" i="2"/>
  <c r="G22" i="2"/>
  <c r="G21" i="2"/>
  <c r="G20" i="2"/>
  <c r="G16" i="2"/>
  <c r="G15" i="2"/>
  <c r="F18" i="2" s="1"/>
  <c r="E171" i="2"/>
  <c r="E170" i="2"/>
  <c r="E169" i="2"/>
  <c r="D171" i="2"/>
  <c r="D170" i="2"/>
  <c r="D169" i="2"/>
  <c r="E159" i="2"/>
  <c r="M159" i="2" s="1"/>
  <c r="N159" i="2" s="1"/>
  <c r="D159" i="2"/>
  <c r="E157" i="2"/>
  <c r="M157" i="2" s="1"/>
  <c r="D157" i="2"/>
  <c r="E152" i="2"/>
  <c r="D152" i="2"/>
  <c r="E132" i="2"/>
  <c r="M132" i="2" s="1"/>
  <c r="N132" i="2" s="1"/>
  <c r="E131" i="2"/>
  <c r="M131" i="2" s="1"/>
  <c r="N131" i="2" s="1"/>
  <c r="E130" i="2"/>
  <c r="E129" i="2"/>
  <c r="E128" i="2"/>
  <c r="E127" i="2"/>
  <c r="M127" i="2" s="1"/>
  <c r="N127" i="2" s="1"/>
  <c r="E126" i="2"/>
  <c r="E125" i="2"/>
  <c r="E124" i="2"/>
  <c r="M124" i="2" s="1"/>
  <c r="N124" i="2" s="1"/>
  <c r="E123" i="2"/>
  <c r="M123" i="2" s="1"/>
  <c r="N123" i="2" s="1"/>
  <c r="E122" i="2"/>
  <c r="D132" i="2"/>
  <c r="D131" i="2"/>
  <c r="D130" i="2"/>
  <c r="D129" i="2"/>
  <c r="D128" i="2"/>
  <c r="D127" i="2"/>
  <c r="D126" i="2"/>
  <c r="D125" i="2"/>
  <c r="D124" i="2"/>
  <c r="D123" i="2"/>
  <c r="D122" i="2"/>
  <c r="E117" i="2"/>
  <c r="E116" i="2"/>
  <c r="E115" i="2"/>
  <c r="M115" i="2" s="1"/>
  <c r="N115" i="2" s="1"/>
  <c r="E114" i="2"/>
  <c r="E113" i="2"/>
  <c r="E112" i="2"/>
  <c r="M112" i="2" s="1"/>
  <c r="N112" i="2" s="1"/>
  <c r="E111" i="2"/>
  <c r="M111" i="2" s="1"/>
  <c r="N111" i="2" s="1"/>
  <c r="D117" i="2"/>
  <c r="D116" i="2"/>
  <c r="D115" i="2"/>
  <c r="D114" i="2"/>
  <c r="D113" i="2"/>
  <c r="D112" i="2"/>
  <c r="D111" i="2"/>
  <c r="E103" i="1"/>
  <c r="E102" i="2"/>
  <c r="E101" i="2"/>
  <c r="E100" i="2"/>
  <c r="E99" i="2"/>
  <c r="M99" i="2" s="1"/>
  <c r="N99" i="2" s="1"/>
  <c r="E98" i="2"/>
  <c r="E97" i="2"/>
  <c r="E96" i="2"/>
  <c r="M96" i="2" s="1"/>
  <c r="N96" i="2" s="1"/>
  <c r="E95" i="2"/>
  <c r="M95" i="2" s="1"/>
  <c r="N95" i="2" s="1"/>
  <c r="E94" i="2"/>
  <c r="E93" i="2"/>
  <c r="E92" i="2"/>
  <c r="E91" i="2"/>
  <c r="M91" i="2" s="1"/>
  <c r="N91" i="2" s="1"/>
  <c r="E90" i="2"/>
  <c r="E89" i="2"/>
  <c r="E88" i="2"/>
  <c r="M88" i="2" s="1"/>
  <c r="N88" i="2" s="1"/>
  <c r="E87" i="2"/>
  <c r="M87" i="2" s="1"/>
  <c r="N87" i="2" s="1"/>
  <c r="E86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E81" i="2"/>
  <c r="E80" i="2"/>
  <c r="E79" i="2"/>
  <c r="M79" i="2" s="1"/>
  <c r="N79" i="2" s="1"/>
  <c r="E78" i="2"/>
  <c r="E77" i="2"/>
  <c r="E76" i="2"/>
  <c r="M76" i="2" s="1"/>
  <c r="N76" i="2" s="1"/>
  <c r="E75" i="2"/>
  <c r="M75" i="2" s="1"/>
  <c r="N75" i="2" s="1"/>
  <c r="E74" i="2"/>
  <c r="D81" i="2"/>
  <c r="D80" i="2"/>
  <c r="D79" i="2"/>
  <c r="D78" i="2"/>
  <c r="D77" i="2"/>
  <c r="D76" i="2"/>
  <c r="D75" i="2"/>
  <c r="D74" i="2"/>
  <c r="E64" i="2"/>
  <c r="E63" i="2"/>
  <c r="E62" i="2"/>
  <c r="M62" i="2" s="1"/>
  <c r="N62" i="2" s="1"/>
  <c r="E61" i="2"/>
  <c r="E60" i="2"/>
  <c r="E59" i="2"/>
  <c r="M59" i="2" s="1"/>
  <c r="N59" i="2" s="1"/>
  <c r="E58" i="2"/>
  <c r="M58" i="2" s="1"/>
  <c r="N58" i="2" s="1"/>
  <c r="E57" i="2"/>
  <c r="E56" i="2"/>
  <c r="E55" i="2"/>
  <c r="E54" i="2"/>
  <c r="M54" i="2" s="1"/>
  <c r="N54" i="2" s="1"/>
  <c r="D64" i="2"/>
  <c r="D63" i="2"/>
  <c r="D62" i="2"/>
  <c r="D61" i="2"/>
  <c r="D60" i="2"/>
  <c r="D59" i="2"/>
  <c r="D58" i="2"/>
  <c r="D57" i="2"/>
  <c r="D56" i="2"/>
  <c r="D55" i="2"/>
  <c r="D54" i="2"/>
  <c r="M77" i="2" l="1"/>
  <c r="N77" i="2" s="1"/>
  <c r="M61" i="2"/>
  <c r="N61" i="2" s="1"/>
  <c r="M78" i="2"/>
  <c r="N78" i="2" s="1"/>
  <c r="M89" i="2"/>
  <c r="N89" i="2" s="1"/>
  <c r="M97" i="2"/>
  <c r="N97" i="2" s="1"/>
  <c r="M113" i="2"/>
  <c r="N113" i="2" s="1"/>
  <c r="M122" i="2"/>
  <c r="N122" i="2" s="1"/>
  <c r="M130" i="2"/>
  <c r="N130" i="2" s="1"/>
  <c r="M60" i="2"/>
  <c r="N60" i="2" s="1"/>
  <c r="M129" i="2"/>
  <c r="N129" i="2" s="1"/>
  <c r="M90" i="2"/>
  <c r="N90" i="2" s="1"/>
  <c r="M98" i="2"/>
  <c r="N98" i="2" s="1"/>
  <c r="M114" i="2"/>
  <c r="M64" i="2"/>
  <c r="N64" i="2" s="1"/>
  <c r="M81" i="2"/>
  <c r="N81" i="2" s="1"/>
  <c r="M57" i="2"/>
  <c r="D103" i="2"/>
  <c r="M93" i="2"/>
  <c r="N93" i="2" s="1"/>
  <c r="M101" i="2"/>
  <c r="N101" i="2" s="1"/>
  <c r="M117" i="2"/>
  <c r="N117" i="2" s="1"/>
  <c r="M126" i="2"/>
  <c r="N126" i="2" s="1"/>
  <c r="M152" i="2"/>
  <c r="N152" i="2" s="1"/>
  <c r="H16" i="28"/>
  <c r="I16" i="28" s="1"/>
  <c r="M56" i="2"/>
  <c r="N56" i="2" s="1"/>
  <c r="M125" i="2"/>
  <c r="N125" i="2" s="1"/>
  <c r="M170" i="2"/>
  <c r="N170" i="2" s="1"/>
  <c r="M80" i="2"/>
  <c r="N80" i="2" s="1"/>
  <c r="F172" i="2"/>
  <c r="M55" i="2"/>
  <c r="N55" i="2" s="1"/>
  <c r="M63" i="2"/>
  <c r="M92" i="2"/>
  <c r="N92" i="2" s="1"/>
  <c r="M100" i="2"/>
  <c r="N100" i="2" s="1"/>
  <c r="M116" i="2"/>
  <c r="N116" i="2" s="1"/>
  <c r="F23" i="2"/>
  <c r="M169" i="2"/>
  <c r="N169" i="2" s="1"/>
  <c r="M86" i="2"/>
  <c r="N86" i="2" s="1"/>
  <c r="M94" i="2"/>
  <c r="N94" i="2" s="1"/>
  <c r="M102" i="2"/>
  <c r="N102" i="2" s="1"/>
  <c r="M128" i="2"/>
  <c r="N128" i="2" s="1"/>
  <c r="M171" i="2"/>
  <c r="N171" i="2" s="1"/>
  <c r="H172" i="2"/>
  <c r="F41" i="2"/>
  <c r="F51" i="2"/>
  <c r="D16" i="23"/>
  <c r="F18" i="23" s="1"/>
  <c r="F103" i="2"/>
  <c r="F119" i="2"/>
  <c r="E154" i="2"/>
  <c r="M154" i="2" s="1"/>
  <c r="N154" i="2" s="1"/>
  <c r="F13" i="2"/>
  <c r="F83" i="2"/>
  <c r="F133" i="2"/>
  <c r="F65" i="2"/>
  <c r="F163" i="2"/>
  <c r="H13" i="2"/>
  <c r="G172" i="2"/>
  <c r="H41" i="2"/>
  <c r="H83" i="2"/>
  <c r="H103" i="2"/>
  <c r="H119" i="2"/>
  <c r="H133" i="2"/>
  <c r="G119" i="2"/>
  <c r="G83" i="2"/>
  <c r="G103" i="2"/>
  <c r="G41" i="2"/>
  <c r="G65" i="2"/>
  <c r="G51" i="2"/>
  <c r="G133" i="2"/>
  <c r="G160" i="2"/>
  <c r="G163" i="2" s="1"/>
  <c r="D65" i="2"/>
  <c r="F25" i="2" l="1"/>
  <c r="E18" i="28"/>
  <c r="E25" i="28" s="1"/>
  <c r="H25" i="28" s="1"/>
  <c r="I25" i="28" s="1"/>
  <c r="F68" i="2"/>
  <c r="F136" i="2"/>
  <c r="F106" i="2"/>
  <c r="H106" i="2"/>
  <c r="J16" i="23"/>
  <c r="D18" i="23"/>
  <c r="M16" i="23"/>
  <c r="N16" i="23" s="1"/>
  <c r="E18" i="23"/>
  <c r="G106" i="2"/>
  <c r="E49" i="2"/>
  <c r="M49" i="2" s="1"/>
  <c r="N49" i="2" s="1"/>
  <c r="E48" i="2"/>
  <c r="M48" i="2" s="1"/>
  <c r="E47" i="2"/>
  <c r="M47" i="2" s="1"/>
  <c r="E46" i="2"/>
  <c r="M46" i="2" s="1"/>
  <c r="N46" i="2" s="1"/>
  <c r="E45" i="2"/>
  <c r="M45" i="2" s="1"/>
  <c r="N45" i="2" s="1"/>
  <c r="E44" i="2"/>
  <c r="M44" i="2" s="1"/>
  <c r="N44" i="2" s="1"/>
  <c r="D49" i="2"/>
  <c r="D48" i="2"/>
  <c r="D47" i="2"/>
  <c r="D46" i="2"/>
  <c r="D45" i="2"/>
  <c r="D44" i="2"/>
  <c r="E40" i="2"/>
  <c r="M40" i="2" s="1"/>
  <c r="N40" i="2" s="1"/>
  <c r="E39" i="2"/>
  <c r="M39" i="2" s="1"/>
  <c r="E38" i="2"/>
  <c r="M38" i="2" s="1"/>
  <c r="N38" i="2" s="1"/>
  <c r="E37" i="2"/>
  <c r="M37" i="2" s="1"/>
  <c r="N37" i="2" s="1"/>
  <c r="E36" i="2"/>
  <c r="M36" i="2" s="1"/>
  <c r="N36" i="2" s="1"/>
  <c r="E35" i="2"/>
  <c r="M35" i="2" s="1"/>
  <c r="N35" i="2" s="1"/>
  <c r="E34" i="2"/>
  <c r="M34" i="2" s="1"/>
  <c r="N34" i="2" s="1"/>
  <c r="E33" i="2"/>
  <c r="M33" i="2" s="1"/>
  <c r="E32" i="2"/>
  <c r="M32" i="2" s="1"/>
  <c r="N32" i="2" s="1"/>
  <c r="E31" i="2"/>
  <c r="M31" i="2" s="1"/>
  <c r="N31" i="2" s="1"/>
  <c r="D40" i="2"/>
  <c r="D39" i="2"/>
  <c r="D38" i="2"/>
  <c r="D37" i="2"/>
  <c r="D36" i="2"/>
  <c r="D35" i="2"/>
  <c r="D34" i="2"/>
  <c r="D33" i="2"/>
  <c r="D32" i="2"/>
  <c r="D31" i="2"/>
  <c r="E22" i="2"/>
  <c r="M22" i="2" s="1"/>
  <c r="N22" i="2" s="1"/>
  <c r="E21" i="2"/>
  <c r="M21" i="2" s="1"/>
  <c r="N21" i="2" s="1"/>
  <c r="E20" i="2"/>
  <c r="M20" i="2" s="1"/>
  <c r="N20" i="2" s="1"/>
  <c r="D22" i="2"/>
  <c r="D21" i="2"/>
  <c r="D20" i="2"/>
  <c r="E16" i="2"/>
  <c r="M16" i="2" s="1"/>
  <c r="N16" i="2" s="1"/>
  <c r="D16" i="2"/>
  <c r="E15" i="2"/>
  <c r="M15" i="2" s="1"/>
  <c r="N15" i="2" s="1"/>
  <c r="D15" i="2"/>
  <c r="D103" i="1"/>
  <c r="E154" i="1"/>
  <c r="E41" i="1"/>
  <c r="E5" i="1" s="1"/>
  <c r="H5" i="23" s="1"/>
  <c r="H6" i="23" s="1"/>
  <c r="E51" i="1"/>
  <c r="E65" i="1"/>
  <c r="E73" i="1"/>
  <c r="E83" i="1"/>
  <c r="E106" i="1" s="1"/>
  <c r="E110" i="1"/>
  <c r="E119" i="1"/>
  <c r="E133" i="1"/>
  <c r="E141" i="1"/>
  <c r="E160" i="1"/>
  <c r="E168" i="1"/>
  <c r="E172" i="1"/>
  <c r="E175" i="1" s="1"/>
  <c r="D172" i="1"/>
  <c r="D175" i="1" s="1"/>
  <c r="F171" i="1"/>
  <c r="F170" i="1"/>
  <c r="F169" i="1"/>
  <c r="D168" i="1"/>
  <c r="D160" i="1"/>
  <c r="F159" i="1"/>
  <c r="F158" i="1"/>
  <c r="F157" i="1"/>
  <c r="D154" i="1"/>
  <c r="F153" i="1"/>
  <c r="F152" i="1"/>
  <c r="D141" i="1"/>
  <c r="D133" i="1"/>
  <c r="F132" i="1"/>
  <c r="F131" i="1"/>
  <c r="F130" i="1"/>
  <c r="F129" i="1"/>
  <c r="F128" i="1"/>
  <c r="F127" i="1"/>
  <c r="F126" i="1"/>
  <c r="F125" i="1"/>
  <c r="F124" i="1"/>
  <c r="F123" i="1"/>
  <c r="F122" i="1"/>
  <c r="D119" i="1"/>
  <c r="D10" i="1" s="1"/>
  <c r="F118" i="1"/>
  <c r="F117" i="1"/>
  <c r="F116" i="1"/>
  <c r="F115" i="1"/>
  <c r="F114" i="1"/>
  <c r="F113" i="1"/>
  <c r="F112" i="1"/>
  <c r="F111" i="1"/>
  <c r="D110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D83" i="1"/>
  <c r="F82" i="1"/>
  <c r="F81" i="1"/>
  <c r="F80" i="1"/>
  <c r="F79" i="1"/>
  <c r="F78" i="1"/>
  <c r="F77" i="1"/>
  <c r="F76" i="1"/>
  <c r="F75" i="1"/>
  <c r="F74" i="1"/>
  <c r="D73" i="1"/>
  <c r="D65" i="1"/>
  <c r="F64" i="1"/>
  <c r="F63" i="1"/>
  <c r="F62" i="1"/>
  <c r="F61" i="1"/>
  <c r="F60" i="1"/>
  <c r="F59" i="1"/>
  <c r="F58" i="1"/>
  <c r="F57" i="1"/>
  <c r="F56" i="1"/>
  <c r="F55" i="1"/>
  <c r="F54" i="1"/>
  <c r="D51" i="1"/>
  <c r="D8" i="1" s="1"/>
  <c r="F50" i="1"/>
  <c r="F49" i="1"/>
  <c r="F48" i="1"/>
  <c r="F47" i="1"/>
  <c r="F46" i="1"/>
  <c r="F45" i="1"/>
  <c r="F44" i="1"/>
  <c r="D41" i="1"/>
  <c r="D5" i="1" s="1"/>
  <c r="F6" i="23" s="1"/>
  <c r="F40" i="1"/>
  <c r="F39" i="1"/>
  <c r="F38" i="1"/>
  <c r="F37" i="1"/>
  <c r="F36" i="1"/>
  <c r="F35" i="1"/>
  <c r="F34" i="1"/>
  <c r="F33" i="1"/>
  <c r="F32" i="1"/>
  <c r="F31" i="1"/>
  <c r="E30" i="1"/>
  <c r="D30" i="1"/>
  <c r="F24" i="1"/>
  <c r="E23" i="1"/>
  <c r="D23" i="1"/>
  <c r="F22" i="1"/>
  <c r="F21" i="1"/>
  <c r="F20" i="1"/>
  <c r="F19" i="1"/>
  <c r="E18" i="1"/>
  <c r="D18" i="1"/>
  <c r="F17" i="1"/>
  <c r="F16" i="1"/>
  <c r="F15" i="1"/>
  <c r="F14" i="1"/>
  <c r="F7" i="1"/>
  <c r="D8" i="2" l="1"/>
  <c r="M18" i="23"/>
  <c r="D11" i="1"/>
  <c r="D11" i="23" s="1"/>
  <c r="D10" i="23"/>
  <c r="D10" i="2"/>
  <c r="D5" i="23"/>
  <c r="F5" i="1"/>
  <c r="E5" i="2"/>
  <c r="M5" i="2" s="1"/>
  <c r="N5" i="2" s="1"/>
  <c r="D8" i="23"/>
  <c r="D12" i="1"/>
  <c r="E68" i="1"/>
  <c r="D106" i="1"/>
  <c r="F106" i="1" s="1"/>
  <c r="J18" i="23"/>
  <c r="E11" i="1"/>
  <c r="H11" i="23" s="1"/>
  <c r="J31" i="2"/>
  <c r="K31" i="2" s="1"/>
  <c r="K16" i="23"/>
  <c r="D6" i="1"/>
  <c r="D5" i="2"/>
  <c r="J5" i="2" s="1"/>
  <c r="K5" i="2" s="1"/>
  <c r="E10" i="1"/>
  <c r="E9" i="1"/>
  <c r="H9" i="23" s="1"/>
  <c r="E8" i="1"/>
  <c r="H8" i="23" s="1"/>
  <c r="D9" i="1"/>
  <c r="F23" i="1"/>
  <c r="F18" i="1"/>
  <c r="E12" i="1"/>
  <c r="H12" i="23" s="1"/>
  <c r="D163" i="1"/>
  <c r="F160" i="1"/>
  <c r="E163" i="1"/>
  <c r="F154" i="1"/>
  <c r="E136" i="1"/>
  <c r="D136" i="1"/>
  <c r="F119" i="1"/>
  <c r="F83" i="1"/>
  <c r="F65" i="1"/>
  <c r="F51" i="1"/>
  <c r="F41" i="1"/>
  <c r="F172" i="1"/>
  <c r="F175" i="1"/>
  <c r="F103" i="1"/>
  <c r="E6" i="1"/>
  <c r="D68" i="1"/>
  <c r="F133" i="1"/>
  <c r="F10" i="1" l="1"/>
  <c r="H10" i="23"/>
  <c r="H13" i="23" s="1"/>
  <c r="H25" i="23" s="1"/>
  <c r="D13" i="1"/>
  <c r="D25" i="1" s="1"/>
  <c r="F13" i="23"/>
  <c r="F25" i="23" s="1"/>
  <c r="D11" i="2"/>
  <c r="J5" i="23"/>
  <c r="K5" i="23" s="1"/>
  <c r="D6" i="23"/>
  <c r="E8" i="2"/>
  <c r="M8" i="2" s="1"/>
  <c r="N8" i="2" s="1"/>
  <c r="D9" i="23"/>
  <c r="D9" i="2"/>
  <c r="E9" i="2"/>
  <c r="M9" i="2" s="1"/>
  <c r="N9" i="2" s="1"/>
  <c r="E10" i="2"/>
  <c r="M10" i="2" s="1"/>
  <c r="N10" i="2" s="1"/>
  <c r="M10" i="23"/>
  <c r="N10" i="23" s="1"/>
  <c r="F6" i="1"/>
  <c r="M12" i="23"/>
  <c r="N12" i="23" s="1"/>
  <c r="M5" i="23"/>
  <c r="N5" i="23" s="1"/>
  <c r="E6" i="23"/>
  <c r="M11" i="23"/>
  <c r="N11" i="23" s="1"/>
  <c r="D12" i="23"/>
  <c r="J12" i="23" s="1"/>
  <c r="K12" i="23" s="1"/>
  <c r="D12" i="2"/>
  <c r="F12" i="1"/>
  <c r="E12" i="2"/>
  <c r="M12" i="2" s="1"/>
  <c r="N12" i="2" s="1"/>
  <c r="F11" i="1"/>
  <c r="E11" i="2"/>
  <c r="M11" i="2" s="1"/>
  <c r="N11" i="2" s="1"/>
  <c r="F136" i="1"/>
  <c r="F9" i="1"/>
  <c r="F8" i="1"/>
  <c r="E13" i="1"/>
  <c r="F163" i="1"/>
  <c r="F68" i="1"/>
  <c r="M9" i="23" l="1"/>
  <c r="N9" i="23" s="1"/>
  <c r="J9" i="23"/>
  <c r="K9" i="23" s="1"/>
  <c r="J11" i="23"/>
  <c r="K11" i="23" s="1"/>
  <c r="M8" i="23"/>
  <c r="N8" i="23" s="1"/>
  <c r="E13" i="23"/>
  <c r="J6" i="23"/>
  <c r="M6" i="23"/>
  <c r="J10" i="23"/>
  <c r="K10" i="23" s="1"/>
  <c r="J8" i="23"/>
  <c r="K8" i="23" s="1"/>
  <c r="D13" i="23"/>
  <c r="D25" i="23" s="1"/>
  <c r="F13" i="1"/>
  <c r="E25" i="1"/>
  <c r="F25" i="1" s="1"/>
  <c r="M13" i="23" l="1"/>
  <c r="M14" i="23" s="1"/>
  <c r="E25" i="23"/>
  <c r="M25" i="23" s="1"/>
  <c r="J13" i="23"/>
  <c r="J14" i="23" s="1"/>
  <c r="N6" i="23"/>
  <c r="M7" i="23"/>
  <c r="K6" i="23"/>
  <c r="J7" i="23"/>
  <c r="N13" i="23" l="1"/>
  <c r="J25" i="23"/>
  <c r="K25" i="23" s="1"/>
  <c r="K13" i="23"/>
  <c r="D13" i="2"/>
  <c r="E172" i="2"/>
  <c r="D172" i="2"/>
  <c r="J171" i="2"/>
  <c r="K171" i="2" s="1"/>
  <c r="J170" i="2"/>
  <c r="K170" i="2" s="1"/>
  <c r="J169" i="2"/>
  <c r="K169" i="2" s="1"/>
  <c r="D168" i="2"/>
  <c r="E160" i="2"/>
  <c r="D160" i="2"/>
  <c r="J159" i="2"/>
  <c r="K159" i="2" s="1"/>
  <c r="J158" i="2"/>
  <c r="J157" i="2"/>
  <c r="D154" i="2"/>
  <c r="J153" i="2"/>
  <c r="K153" i="2" s="1"/>
  <c r="J152" i="2"/>
  <c r="K152" i="2" s="1"/>
  <c r="D141" i="2"/>
  <c r="E133" i="2"/>
  <c r="M133" i="2" s="1"/>
  <c r="N133" i="2" s="1"/>
  <c r="D133" i="2"/>
  <c r="J132" i="2"/>
  <c r="K132" i="2" s="1"/>
  <c r="J131" i="2"/>
  <c r="K131" i="2" s="1"/>
  <c r="J130" i="2"/>
  <c r="K130" i="2" s="1"/>
  <c r="J129" i="2"/>
  <c r="K129" i="2" s="1"/>
  <c r="J128" i="2"/>
  <c r="K128" i="2" s="1"/>
  <c r="J127" i="2"/>
  <c r="K127" i="2" s="1"/>
  <c r="J126" i="2"/>
  <c r="K126" i="2" s="1"/>
  <c r="J125" i="2"/>
  <c r="K125" i="2" s="1"/>
  <c r="J124" i="2"/>
  <c r="K124" i="2" s="1"/>
  <c r="J123" i="2"/>
  <c r="K123" i="2" s="1"/>
  <c r="J122" i="2"/>
  <c r="K122" i="2" s="1"/>
  <c r="E119" i="2"/>
  <c r="M119" i="2" s="1"/>
  <c r="N119" i="2" s="1"/>
  <c r="D119" i="2"/>
  <c r="J118" i="2"/>
  <c r="J117" i="2"/>
  <c r="K117" i="2" s="1"/>
  <c r="J116" i="2"/>
  <c r="K116" i="2" s="1"/>
  <c r="J115" i="2"/>
  <c r="K115" i="2" s="1"/>
  <c r="J114" i="2"/>
  <c r="J113" i="2"/>
  <c r="K113" i="2" s="1"/>
  <c r="J112" i="2"/>
  <c r="K112" i="2" s="1"/>
  <c r="J111" i="2"/>
  <c r="K111" i="2" s="1"/>
  <c r="D110" i="2"/>
  <c r="E103" i="2"/>
  <c r="M103" i="2" s="1"/>
  <c r="N103" i="2" s="1"/>
  <c r="J102" i="2"/>
  <c r="K102" i="2" s="1"/>
  <c r="J101" i="2"/>
  <c r="K101" i="2" s="1"/>
  <c r="J100" i="2"/>
  <c r="K100" i="2" s="1"/>
  <c r="J99" i="2"/>
  <c r="K99" i="2" s="1"/>
  <c r="J98" i="2"/>
  <c r="K98" i="2" s="1"/>
  <c r="J97" i="2"/>
  <c r="K97" i="2" s="1"/>
  <c r="J96" i="2"/>
  <c r="K96" i="2" s="1"/>
  <c r="J95" i="2"/>
  <c r="K95" i="2" s="1"/>
  <c r="J94" i="2"/>
  <c r="K94" i="2" s="1"/>
  <c r="J93" i="2"/>
  <c r="K93" i="2" s="1"/>
  <c r="J92" i="2"/>
  <c r="K92" i="2" s="1"/>
  <c r="J91" i="2"/>
  <c r="K91" i="2" s="1"/>
  <c r="J90" i="2"/>
  <c r="K90" i="2" s="1"/>
  <c r="J89" i="2"/>
  <c r="K89" i="2" s="1"/>
  <c r="J88" i="2"/>
  <c r="K88" i="2" s="1"/>
  <c r="J87" i="2"/>
  <c r="K87" i="2" s="1"/>
  <c r="J86" i="2"/>
  <c r="K86" i="2" s="1"/>
  <c r="E83" i="2"/>
  <c r="M83" i="2" s="1"/>
  <c r="N83" i="2" s="1"/>
  <c r="D83" i="2"/>
  <c r="J82" i="2"/>
  <c r="J81" i="2"/>
  <c r="K81" i="2" s="1"/>
  <c r="J80" i="2"/>
  <c r="K80" i="2" s="1"/>
  <c r="J79" i="2"/>
  <c r="K79" i="2" s="1"/>
  <c r="J78" i="2"/>
  <c r="K78" i="2" s="1"/>
  <c r="J77" i="2"/>
  <c r="K77" i="2" s="1"/>
  <c r="J76" i="2"/>
  <c r="K76" i="2" s="1"/>
  <c r="J75" i="2"/>
  <c r="K75" i="2" s="1"/>
  <c r="J74" i="2"/>
  <c r="K74" i="2" s="1"/>
  <c r="D73" i="2"/>
  <c r="E65" i="2"/>
  <c r="M65" i="2" s="1"/>
  <c r="N65" i="2" s="1"/>
  <c r="J64" i="2"/>
  <c r="K64" i="2" s="1"/>
  <c r="J63" i="2"/>
  <c r="J62" i="2"/>
  <c r="K62" i="2" s="1"/>
  <c r="J61" i="2"/>
  <c r="K61" i="2" s="1"/>
  <c r="J60" i="2"/>
  <c r="K60" i="2" s="1"/>
  <c r="J59" i="2"/>
  <c r="K59" i="2" s="1"/>
  <c r="J58" i="2"/>
  <c r="K58" i="2" s="1"/>
  <c r="J57" i="2"/>
  <c r="J56" i="2"/>
  <c r="K56" i="2" s="1"/>
  <c r="J55" i="2"/>
  <c r="K55" i="2" s="1"/>
  <c r="J54" i="2"/>
  <c r="K54" i="2" s="1"/>
  <c r="E51" i="2"/>
  <c r="M51" i="2" s="1"/>
  <c r="N51" i="2" s="1"/>
  <c r="D51" i="2"/>
  <c r="J50" i="2"/>
  <c r="J49" i="2"/>
  <c r="K49" i="2" s="1"/>
  <c r="J48" i="2"/>
  <c r="J47" i="2"/>
  <c r="J46" i="2"/>
  <c r="K46" i="2" s="1"/>
  <c r="J45" i="2"/>
  <c r="K45" i="2" s="1"/>
  <c r="J44" i="2"/>
  <c r="K44" i="2" s="1"/>
  <c r="E41" i="2"/>
  <c r="M41" i="2" s="1"/>
  <c r="N41" i="2" s="1"/>
  <c r="D41" i="2"/>
  <c r="J40" i="2"/>
  <c r="K40" i="2" s="1"/>
  <c r="J39" i="2"/>
  <c r="J38" i="2"/>
  <c r="K38" i="2" s="1"/>
  <c r="J37" i="2"/>
  <c r="K37" i="2" s="1"/>
  <c r="J36" i="2"/>
  <c r="K36" i="2" s="1"/>
  <c r="J35" i="2"/>
  <c r="K35" i="2" s="1"/>
  <c r="J34" i="2"/>
  <c r="K34" i="2" s="1"/>
  <c r="J33" i="2"/>
  <c r="J32" i="2"/>
  <c r="K32" i="2" s="1"/>
  <c r="D30" i="2"/>
  <c r="J24" i="2"/>
  <c r="E23" i="2"/>
  <c r="M23" i="2" s="1"/>
  <c r="D23" i="2"/>
  <c r="J22" i="2"/>
  <c r="K22" i="2" s="1"/>
  <c r="J21" i="2"/>
  <c r="K21" i="2" s="1"/>
  <c r="J20" i="2"/>
  <c r="K20" i="2" s="1"/>
  <c r="J19" i="2"/>
  <c r="E18" i="2"/>
  <c r="M18" i="2" s="1"/>
  <c r="D18" i="2"/>
  <c r="J17" i="2"/>
  <c r="J16" i="2"/>
  <c r="K16" i="2" s="1"/>
  <c r="J15" i="2"/>
  <c r="K15" i="2" s="1"/>
  <c r="D6" i="2"/>
  <c r="E6" i="2"/>
  <c r="M6" i="2" s="1"/>
  <c r="K171" i="1"/>
  <c r="K170" i="1"/>
  <c r="K169" i="1"/>
  <c r="K159" i="1"/>
  <c r="K158" i="1"/>
  <c r="K153" i="1"/>
  <c r="K152" i="1"/>
  <c r="K132" i="1"/>
  <c r="K131" i="1"/>
  <c r="K130" i="1"/>
  <c r="K129" i="1"/>
  <c r="K128" i="1"/>
  <c r="K127" i="1"/>
  <c r="K126" i="1"/>
  <c r="K125" i="1"/>
  <c r="K124" i="1"/>
  <c r="K123" i="1"/>
  <c r="K122" i="1"/>
  <c r="K117" i="1"/>
  <c r="K116" i="1"/>
  <c r="K115" i="1"/>
  <c r="K114" i="1"/>
  <c r="K113" i="1"/>
  <c r="K112" i="1"/>
  <c r="K111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1" i="1"/>
  <c r="K80" i="1"/>
  <c r="K79" i="1"/>
  <c r="K78" i="1"/>
  <c r="K77" i="1"/>
  <c r="K76" i="1"/>
  <c r="K75" i="1"/>
  <c r="K74" i="1"/>
  <c r="K63" i="1"/>
  <c r="K62" i="1"/>
  <c r="K61" i="1"/>
  <c r="K60" i="1"/>
  <c r="K59" i="1"/>
  <c r="K58" i="1"/>
  <c r="K57" i="1"/>
  <c r="K56" i="1"/>
  <c r="K55" i="1"/>
  <c r="K54" i="1"/>
  <c r="K49" i="1"/>
  <c r="K48" i="1"/>
  <c r="K46" i="1"/>
  <c r="K45" i="1"/>
  <c r="K44" i="1"/>
  <c r="K30" i="1"/>
  <c r="K73" i="1" s="1"/>
  <c r="K110" i="1" s="1"/>
  <c r="K141" i="1" s="1"/>
  <c r="K168" i="1" s="1"/>
  <c r="K40" i="1"/>
  <c r="K39" i="1"/>
  <c r="K38" i="1"/>
  <c r="K37" i="1"/>
  <c r="K36" i="1"/>
  <c r="K35" i="1"/>
  <c r="K34" i="1"/>
  <c r="K33" i="1"/>
  <c r="K32" i="1"/>
  <c r="K31" i="1"/>
  <c r="K22" i="1"/>
  <c r="K21" i="1"/>
  <c r="K20" i="1"/>
  <c r="K16" i="1"/>
  <c r="K15" i="1"/>
  <c r="K12" i="1"/>
  <c r="K11" i="1"/>
  <c r="K10" i="1"/>
  <c r="K9" i="1"/>
  <c r="K8" i="1"/>
  <c r="K6" i="1"/>
  <c r="I171" i="1"/>
  <c r="I170" i="1"/>
  <c r="I169" i="1"/>
  <c r="I159" i="1"/>
  <c r="I158" i="1"/>
  <c r="I157" i="1"/>
  <c r="I153" i="1"/>
  <c r="I152" i="1"/>
  <c r="I132" i="1"/>
  <c r="I131" i="1"/>
  <c r="I130" i="1"/>
  <c r="I129" i="1"/>
  <c r="I128" i="1"/>
  <c r="I127" i="1"/>
  <c r="I126" i="1"/>
  <c r="I125" i="1"/>
  <c r="I124" i="1"/>
  <c r="I123" i="1"/>
  <c r="I122" i="1"/>
  <c r="I118" i="1"/>
  <c r="I117" i="1"/>
  <c r="I116" i="1"/>
  <c r="I115" i="1"/>
  <c r="I114" i="1"/>
  <c r="I113" i="1"/>
  <c r="I112" i="1"/>
  <c r="I111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2" i="1"/>
  <c r="I81" i="1"/>
  <c r="I80" i="1"/>
  <c r="I79" i="1"/>
  <c r="I78" i="1"/>
  <c r="I77" i="1"/>
  <c r="I76" i="1"/>
  <c r="I75" i="1"/>
  <c r="I74" i="1"/>
  <c r="I64" i="1"/>
  <c r="I63" i="1"/>
  <c r="I62" i="1"/>
  <c r="I61" i="1"/>
  <c r="I60" i="1"/>
  <c r="I59" i="1"/>
  <c r="I58" i="1"/>
  <c r="I57" i="1"/>
  <c r="I56" i="1"/>
  <c r="I55" i="1"/>
  <c r="I54" i="1"/>
  <c r="I50" i="1"/>
  <c r="I49" i="1"/>
  <c r="I48" i="1"/>
  <c r="I47" i="1"/>
  <c r="I46" i="1"/>
  <c r="I45" i="1"/>
  <c r="I44" i="1"/>
  <c r="I40" i="1"/>
  <c r="I39" i="1"/>
  <c r="I38" i="1"/>
  <c r="I37" i="1"/>
  <c r="I36" i="1"/>
  <c r="I35" i="1"/>
  <c r="I34" i="1"/>
  <c r="I33" i="1"/>
  <c r="I32" i="1"/>
  <c r="I31" i="1"/>
  <c r="I7" i="1"/>
  <c r="I14" i="1"/>
  <c r="I15" i="1"/>
  <c r="I16" i="1"/>
  <c r="I17" i="1"/>
  <c r="I19" i="1"/>
  <c r="I20" i="1"/>
  <c r="I21" i="1"/>
  <c r="I22" i="1"/>
  <c r="I24" i="1"/>
  <c r="J6" i="1"/>
  <c r="J13" i="1"/>
  <c r="J18" i="1"/>
  <c r="J30" i="1"/>
  <c r="E163" i="2" l="1"/>
  <c r="M163" i="2" s="1"/>
  <c r="N163" i="2" s="1"/>
  <c r="M160" i="2"/>
  <c r="N160" i="2" s="1"/>
  <c r="D25" i="2"/>
  <c r="M7" i="2"/>
  <c r="N6" i="2"/>
  <c r="J12" i="2"/>
  <c r="K12" i="2" s="1"/>
  <c r="M172" i="2"/>
  <c r="N172" i="2" s="1"/>
  <c r="J9" i="2"/>
  <c r="K9" i="2" s="1"/>
  <c r="H18" i="2"/>
  <c r="H23" i="2"/>
  <c r="H25" i="2"/>
  <c r="G18" i="2"/>
  <c r="G23" i="2"/>
  <c r="K13" i="1"/>
  <c r="J41" i="2"/>
  <c r="K41" i="2" s="1"/>
  <c r="D68" i="2"/>
  <c r="E68" i="2"/>
  <c r="M68" i="2" s="1"/>
  <c r="N68" i="2" s="1"/>
  <c r="J10" i="2"/>
  <c r="K10" i="2" s="1"/>
  <c r="J18" i="2"/>
  <c r="E106" i="2"/>
  <c r="M106" i="2" s="1"/>
  <c r="N106" i="2" s="1"/>
  <c r="J51" i="2"/>
  <c r="K51" i="2" s="1"/>
  <c r="J8" i="2"/>
  <c r="K8" i="2" s="1"/>
  <c r="D136" i="2"/>
  <c r="J172" i="2"/>
  <c r="K172" i="2" s="1"/>
  <c r="J23" i="2"/>
  <c r="E136" i="2"/>
  <c r="M136" i="2" s="1"/>
  <c r="N136" i="2" s="1"/>
  <c r="D163" i="2"/>
  <c r="J163" i="2" s="1"/>
  <c r="K163" i="2" s="1"/>
  <c r="J119" i="2"/>
  <c r="K119" i="2" s="1"/>
  <c r="J154" i="2"/>
  <c r="K154" i="2" s="1"/>
  <c r="J6" i="2"/>
  <c r="K6" i="2" s="1"/>
  <c r="D106" i="2"/>
  <c r="J83" i="2"/>
  <c r="K83" i="2" s="1"/>
  <c r="J160" i="2"/>
  <c r="K160" i="2" s="1"/>
  <c r="J11" i="2"/>
  <c r="K11" i="2" s="1"/>
  <c r="J65" i="2"/>
  <c r="K65" i="2" s="1"/>
  <c r="J103" i="2"/>
  <c r="K103" i="2" s="1"/>
  <c r="J133" i="2"/>
  <c r="K133" i="2" s="1"/>
  <c r="J23" i="1"/>
  <c r="J25" i="1" s="1"/>
  <c r="H136" i="2" l="1"/>
  <c r="J7" i="2"/>
  <c r="G68" i="2"/>
  <c r="G136" i="2"/>
  <c r="J68" i="2"/>
  <c r="K68" i="2" s="1"/>
  <c r="J106" i="2"/>
  <c r="K106" i="2" s="1"/>
  <c r="J136" i="2"/>
  <c r="K136" i="2" s="1"/>
  <c r="E13" i="2"/>
  <c r="M13" i="2" s="1"/>
  <c r="V172" i="1"/>
  <c r="V175" i="1" s="1"/>
  <c r="U172" i="1"/>
  <c r="T172" i="1"/>
  <c r="S172" i="1"/>
  <c r="S175" i="1" s="1"/>
  <c r="R172" i="1"/>
  <c r="R175" i="1" s="1"/>
  <c r="Q172" i="1"/>
  <c r="P172" i="1"/>
  <c r="O172" i="1"/>
  <c r="O175" i="1" s="1"/>
  <c r="N172" i="1"/>
  <c r="N175" i="1" s="1"/>
  <c r="L172" i="1"/>
  <c r="H172" i="1"/>
  <c r="H175" i="1" s="1"/>
  <c r="G172" i="1"/>
  <c r="X171" i="1"/>
  <c r="Y171" i="1" s="1"/>
  <c r="X170" i="1"/>
  <c r="Y170" i="1" s="1"/>
  <c r="X169" i="1"/>
  <c r="Y169" i="1" s="1"/>
  <c r="J172" i="1"/>
  <c r="J175" i="1" s="1"/>
  <c r="O168" i="1"/>
  <c r="J168" i="1"/>
  <c r="H168" i="1"/>
  <c r="G168" i="1"/>
  <c r="V160" i="1"/>
  <c r="U160" i="1"/>
  <c r="T160" i="1"/>
  <c r="S160" i="1"/>
  <c r="R160" i="1"/>
  <c r="Q160" i="1"/>
  <c r="L160" i="1"/>
  <c r="H160" i="1"/>
  <c r="H163" i="1" s="1"/>
  <c r="G160" i="1"/>
  <c r="X159" i="1"/>
  <c r="X158" i="1"/>
  <c r="X157" i="1"/>
  <c r="Y157" i="1" s="1"/>
  <c r="P157" i="1"/>
  <c r="P160" i="1" s="1"/>
  <c r="O157" i="1"/>
  <c r="O160" i="1" s="1"/>
  <c r="N157" i="1"/>
  <c r="N160" i="1" s="1"/>
  <c r="J157" i="1"/>
  <c r="V154" i="1"/>
  <c r="U154" i="1"/>
  <c r="T154" i="1"/>
  <c r="S154" i="1"/>
  <c r="S163" i="1" s="1"/>
  <c r="R154" i="1"/>
  <c r="R163" i="1" s="1"/>
  <c r="Q154" i="1"/>
  <c r="P154" i="1"/>
  <c r="O154" i="1"/>
  <c r="N154" i="1"/>
  <c r="L154" i="1"/>
  <c r="G154" i="1"/>
  <c r="X153" i="1"/>
  <c r="X152" i="1"/>
  <c r="Y152" i="1" s="1"/>
  <c r="J154" i="1"/>
  <c r="O141" i="1"/>
  <c r="J141" i="1"/>
  <c r="H141" i="1"/>
  <c r="G141" i="1"/>
  <c r="V133" i="1"/>
  <c r="U133" i="1"/>
  <c r="T133" i="1"/>
  <c r="S133" i="1"/>
  <c r="R133" i="1"/>
  <c r="Q133" i="1"/>
  <c r="P133" i="1"/>
  <c r="O133" i="1"/>
  <c r="N133" i="1"/>
  <c r="H133" i="1"/>
  <c r="G133" i="1"/>
  <c r="X132" i="1"/>
  <c r="Y132" i="1" s="1"/>
  <c r="X131" i="1"/>
  <c r="Y131" i="1" s="1"/>
  <c r="X130" i="1"/>
  <c r="Y130" i="1" s="1"/>
  <c r="X129" i="1"/>
  <c r="Y129" i="1" s="1"/>
  <c r="X128" i="1"/>
  <c r="Y128" i="1" s="1"/>
  <c r="X127" i="1"/>
  <c r="Y127" i="1" s="1"/>
  <c r="X126" i="1"/>
  <c r="Y126" i="1" s="1"/>
  <c r="X125" i="1"/>
  <c r="Y125" i="1" s="1"/>
  <c r="X124" i="1"/>
  <c r="Y124" i="1" s="1"/>
  <c r="X123" i="1"/>
  <c r="Y123" i="1" s="1"/>
  <c r="X122" i="1"/>
  <c r="Y122" i="1" s="1"/>
  <c r="J133" i="1"/>
  <c r="V119" i="1"/>
  <c r="U119" i="1"/>
  <c r="T119" i="1"/>
  <c r="S119" i="1"/>
  <c r="R119" i="1"/>
  <c r="Q119" i="1"/>
  <c r="P119" i="1"/>
  <c r="O119" i="1"/>
  <c r="O10" i="1" s="1"/>
  <c r="N119" i="1"/>
  <c r="H119" i="1"/>
  <c r="G119" i="1"/>
  <c r="X117" i="1"/>
  <c r="Y117" i="1" s="1"/>
  <c r="X116" i="1"/>
  <c r="Y116" i="1" s="1"/>
  <c r="X115" i="1"/>
  <c r="Y115" i="1" s="1"/>
  <c r="X114" i="1"/>
  <c r="X113" i="1"/>
  <c r="Y113" i="1" s="1"/>
  <c r="X112" i="1"/>
  <c r="Y112" i="1" s="1"/>
  <c r="X111" i="1"/>
  <c r="Y111" i="1" s="1"/>
  <c r="J119" i="1"/>
  <c r="O110" i="1"/>
  <c r="J110" i="1"/>
  <c r="H110" i="1"/>
  <c r="G110" i="1"/>
  <c r="V103" i="1"/>
  <c r="U103" i="1"/>
  <c r="T103" i="1"/>
  <c r="S103" i="1"/>
  <c r="R103" i="1"/>
  <c r="Q103" i="1"/>
  <c r="O103" i="1"/>
  <c r="N103" i="1"/>
  <c r="H103" i="1"/>
  <c r="G103" i="1"/>
  <c r="X102" i="1"/>
  <c r="Y102" i="1" s="1"/>
  <c r="X101" i="1"/>
  <c r="Y101" i="1" s="1"/>
  <c r="X100" i="1"/>
  <c r="Y100" i="1" s="1"/>
  <c r="X99" i="1"/>
  <c r="Y99" i="1" s="1"/>
  <c r="X98" i="1"/>
  <c r="Y98" i="1" s="1"/>
  <c r="X97" i="1"/>
  <c r="Y97" i="1" s="1"/>
  <c r="X96" i="1"/>
  <c r="Y96" i="1" s="1"/>
  <c r="X95" i="1"/>
  <c r="Y95" i="1" s="1"/>
  <c r="X94" i="1"/>
  <c r="Y94" i="1" s="1"/>
  <c r="X93" i="1"/>
  <c r="Y93" i="1" s="1"/>
  <c r="X92" i="1"/>
  <c r="Y92" i="1" s="1"/>
  <c r="X91" i="1"/>
  <c r="Y91" i="1" s="1"/>
  <c r="X90" i="1"/>
  <c r="Y90" i="1" s="1"/>
  <c r="X89" i="1"/>
  <c r="Y89" i="1" s="1"/>
  <c r="P89" i="1"/>
  <c r="P103" i="1" s="1"/>
  <c r="X88" i="1"/>
  <c r="Y88" i="1" s="1"/>
  <c r="X87" i="1"/>
  <c r="Y87" i="1" s="1"/>
  <c r="X86" i="1"/>
  <c r="Y86" i="1" s="1"/>
  <c r="V83" i="1"/>
  <c r="U83" i="1"/>
  <c r="T83" i="1"/>
  <c r="S83" i="1"/>
  <c r="R83" i="1"/>
  <c r="Q83" i="1"/>
  <c r="P83" i="1"/>
  <c r="O83" i="1"/>
  <c r="N83" i="1"/>
  <c r="H83" i="1"/>
  <c r="G83" i="1"/>
  <c r="X82" i="1"/>
  <c r="X81" i="1"/>
  <c r="Y81" i="1" s="1"/>
  <c r="X80" i="1"/>
  <c r="Y80" i="1" s="1"/>
  <c r="X79" i="1"/>
  <c r="Y79" i="1" s="1"/>
  <c r="X78" i="1"/>
  <c r="Y78" i="1" s="1"/>
  <c r="X77" i="1"/>
  <c r="Y77" i="1" s="1"/>
  <c r="X76" i="1"/>
  <c r="Y76" i="1" s="1"/>
  <c r="X75" i="1"/>
  <c r="Y75" i="1" s="1"/>
  <c r="X74" i="1"/>
  <c r="Y74" i="1" s="1"/>
  <c r="O73" i="1"/>
  <c r="J73" i="1"/>
  <c r="H73" i="1"/>
  <c r="G73" i="1"/>
  <c r="L68" i="1"/>
  <c r="V65" i="1"/>
  <c r="V8" i="1" s="1"/>
  <c r="U65" i="1"/>
  <c r="U8" i="1" s="1"/>
  <c r="T65" i="1"/>
  <c r="T8" i="1" s="1"/>
  <c r="S65" i="1"/>
  <c r="R65" i="1"/>
  <c r="Q65" i="1"/>
  <c r="N65" i="1"/>
  <c r="H65" i="1"/>
  <c r="G65" i="1"/>
  <c r="X64" i="1"/>
  <c r="Y64" i="1" s="1"/>
  <c r="J64" i="1"/>
  <c r="X63" i="1"/>
  <c r="Y63" i="1" s="1"/>
  <c r="P63" i="1"/>
  <c r="P65" i="1" s="1"/>
  <c r="O63" i="1"/>
  <c r="X62" i="1"/>
  <c r="Y62" i="1" s="1"/>
  <c r="X61" i="1"/>
  <c r="Y61" i="1" s="1"/>
  <c r="X60" i="1"/>
  <c r="Y60" i="1" s="1"/>
  <c r="X59" i="1"/>
  <c r="Y59" i="1" s="1"/>
  <c r="X58" i="1"/>
  <c r="Y58" i="1" s="1"/>
  <c r="Y57" i="1"/>
  <c r="X57" i="1"/>
  <c r="X56" i="1"/>
  <c r="Y56" i="1" s="1"/>
  <c r="X55" i="1"/>
  <c r="Y55" i="1" s="1"/>
  <c r="X54" i="1"/>
  <c r="Y54" i="1" s="1"/>
  <c r="O54" i="1"/>
  <c r="S51" i="1"/>
  <c r="R51" i="1"/>
  <c r="Q51" i="1"/>
  <c r="P51" i="1"/>
  <c r="N51" i="1"/>
  <c r="H51" i="1"/>
  <c r="G51" i="1"/>
  <c r="X50" i="1"/>
  <c r="X49" i="1"/>
  <c r="Y49" i="1" s="1"/>
  <c r="X48" i="1"/>
  <c r="Y48" i="1" s="1"/>
  <c r="X47" i="1"/>
  <c r="Y47" i="1" s="1"/>
  <c r="O47" i="1"/>
  <c r="O51" i="1" s="1"/>
  <c r="J47" i="1"/>
  <c r="X46" i="1"/>
  <c r="Y46" i="1" s="1"/>
  <c r="X45" i="1"/>
  <c r="Y45" i="1" s="1"/>
  <c r="X44" i="1"/>
  <c r="Y44" i="1" s="1"/>
  <c r="V41" i="1"/>
  <c r="U41" i="1"/>
  <c r="T41" i="1"/>
  <c r="T5" i="1" s="1"/>
  <c r="T6" i="1" s="1"/>
  <c r="S41" i="1"/>
  <c r="S5" i="1" s="1"/>
  <c r="S6" i="1" s="1"/>
  <c r="R41" i="1"/>
  <c r="R5" i="1" s="1"/>
  <c r="R6" i="1" s="1"/>
  <c r="Q41" i="1"/>
  <c r="N41" i="1"/>
  <c r="N5" i="1" s="1"/>
  <c r="N6" i="1" s="1"/>
  <c r="H41" i="1"/>
  <c r="H5" i="1" s="1"/>
  <c r="G41" i="1"/>
  <c r="C41" i="1"/>
  <c r="C68" i="1" s="1"/>
  <c r="X40" i="1"/>
  <c r="Y40" i="1" s="1"/>
  <c r="X39" i="1"/>
  <c r="Y39" i="1" s="1"/>
  <c r="O39" i="1"/>
  <c r="X38" i="1"/>
  <c r="Y38" i="1" s="1"/>
  <c r="X37" i="1"/>
  <c r="Y37" i="1" s="1"/>
  <c r="X36" i="1"/>
  <c r="Y36" i="1" s="1"/>
  <c r="X35" i="1"/>
  <c r="Y35" i="1" s="1"/>
  <c r="X34" i="1"/>
  <c r="Y34" i="1" s="1"/>
  <c r="X33" i="1"/>
  <c r="Y33" i="1" s="1"/>
  <c r="P33" i="1"/>
  <c r="P41" i="1" s="1"/>
  <c r="O33" i="1"/>
  <c r="X32" i="1"/>
  <c r="Y32" i="1" s="1"/>
  <c r="X31" i="1"/>
  <c r="Y31" i="1" s="1"/>
  <c r="X30" i="1"/>
  <c r="X73" i="1" s="1"/>
  <c r="X110" i="1" s="1"/>
  <c r="X141" i="1" s="1"/>
  <c r="X168" i="1" s="1"/>
  <c r="V30" i="1"/>
  <c r="V73" i="1" s="1"/>
  <c r="V110" i="1" s="1"/>
  <c r="V141" i="1" s="1"/>
  <c r="V168" i="1" s="1"/>
  <c r="U30" i="1"/>
  <c r="U73" i="1" s="1"/>
  <c r="U110" i="1" s="1"/>
  <c r="U141" i="1" s="1"/>
  <c r="U168" i="1" s="1"/>
  <c r="T30" i="1"/>
  <c r="T73" i="1" s="1"/>
  <c r="T110" i="1" s="1"/>
  <c r="T141" i="1" s="1"/>
  <c r="T168" i="1" s="1"/>
  <c r="S30" i="1"/>
  <c r="S73" i="1" s="1"/>
  <c r="S110" i="1" s="1"/>
  <c r="S141" i="1" s="1"/>
  <c r="S168" i="1" s="1"/>
  <c r="R30" i="1"/>
  <c r="R73" i="1" s="1"/>
  <c r="R110" i="1" s="1"/>
  <c r="R141" i="1" s="1"/>
  <c r="R168" i="1" s="1"/>
  <c r="Q30" i="1"/>
  <c r="Q73" i="1" s="1"/>
  <c r="Q110" i="1" s="1"/>
  <c r="Q141" i="1" s="1"/>
  <c r="Q168" i="1" s="1"/>
  <c r="P30" i="1"/>
  <c r="P73" i="1" s="1"/>
  <c r="P110" i="1" s="1"/>
  <c r="P141" i="1" s="1"/>
  <c r="P168" i="1" s="1"/>
  <c r="O30" i="1"/>
  <c r="N30" i="1"/>
  <c r="N73" i="1" s="1"/>
  <c r="N110" i="1" s="1"/>
  <c r="N141" i="1" s="1"/>
  <c r="N168" i="1" s="1"/>
  <c r="H30" i="1"/>
  <c r="G30" i="1"/>
  <c r="R27" i="1"/>
  <c r="V23" i="1"/>
  <c r="U23" i="1"/>
  <c r="T23" i="1"/>
  <c r="S23" i="1"/>
  <c r="R23" i="1"/>
  <c r="Q23" i="1"/>
  <c r="H23" i="1"/>
  <c r="Y23" i="1" s="1"/>
  <c r="G23" i="1"/>
  <c r="X22" i="1"/>
  <c r="Y22" i="1" s="1"/>
  <c r="P22" i="1"/>
  <c r="O22" i="1"/>
  <c r="X21" i="1"/>
  <c r="Y21" i="1" s="1"/>
  <c r="P21" i="1"/>
  <c r="O21" i="1"/>
  <c r="N21" i="1"/>
  <c r="X20" i="1"/>
  <c r="Y20" i="1" s="1"/>
  <c r="P20" i="1"/>
  <c r="O20" i="1"/>
  <c r="N20" i="1"/>
  <c r="X19" i="1"/>
  <c r="V18" i="1"/>
  <c r="U18" i="1"/>
  <c r="T18" i="1"/>
  <c r="S18" i="1"/>
  <c r="R18" i="1"/>
  <c r="Q18" i="1"/>
  <c r="P18" i="1"/>
  <c r="O18" i="1"/>
  <c r="H18" i="1"/>
  <c r="Y18" i="1" s="1"/>
  <c r="G18" i="1"/>
  <c r="Y17" i="1"/>
  <c r="X17" i="1"/>
  <c r="N17" i="1"/>
  <c r="X16" i="1"/>
  <c r="Y16" i="1" s="1"/>
  <c r="N16" i="1"/>
  <c r="X15" i="1"/>
  <c r="Y15" i="1" s="1"/>
  <c r="X14" i="1"/>
  <c r="G13" i="1"/>
  <c r="V11" i="1"/>
  <c r="X7" i="1"/>
  <c r="G6" i="1"/>
  <c r="V163" i="1" l="1"/>
  <c r="I5" i="1"/>
  <c r="G5" i="2"/>
  <c r="G6" i="2" s="1"/>
  <c r="M14" i="2"/>
  <c r="N13" i="2"/>
  <c r="H47" i="2"/>
  <c r="H51" i="2" s="1"/>
  <c r="K64" i="1"/>
  <c r="H64" i="2"/>
  <c r="H65" i="2" s="1"/>
  <c r="K157" i="1"/>
  <c r="H157" i="2"/>
  <c r="H160" i="2" s="1"/>
  <c r="H163" i="2" s="1"/>
  <c r="H68" i="2"/>
  <c r="T163" i="1"/>
  <c r="K172" i="1"/>
  <c r="Q11" i="1"/>
  <c r="T11" i="1"/>
  <c r="K133" i="1"/>
  <c r="K119" i="1"/>
  <c r="K154" i="1"/>
  <c r="J13" i="2"/>
  <c r="K13" i="2" s="1"/>
  <c r="E25" i="2"/>
  <c r="J51" i="1"/>
  <c r="K51" i="1" s="1"/>
  <c r="K47" i="1"/>
  <c r="I51" i="1"/>
  <c r="I119" i="1"/>
  <c r="I23" i="1"/>
  <c r="I103" i="1"/>
  <c r="I41" i="1"/>
  <c r="I83" i="1"/>
  <c r="Q136" i="1"/>
  <c r="S136" i="1"/>
  <c r="I133" i="1"/>
  <c r="T136" i="1"/>
  <c r="R11" i="1"/>
  <c r="X154" i="1"/>
  <c r="Y154" i="1" s="1"/>
  <c r="I154" i="1"/>
  <c r="R106" i="1"/>
  <c r="I160" i="1"/>
  <c r="I18" i="1"/>
  <c r="I172" i="1"/>
  <c r="X5" i="1"/>
  <c r="Y5" i="1" s="1"/>
  <c r="I65" i="1"/>
  <c r="H136" i="1"/>
  <c r="U136" i="1"/>
  <c r="U11" i="1"/>
  <c r="O136" i="1"/>
  <c r="P10" i="1"/>
  <c r="R9" i="1"/>
  <c r="Q106" i="1"/>
  <c r="S9" i="1"/>
  <c r="N8" i="1"/>
  <c r="X41" i="1"/>
  <c r="Y41" i="1" s="1"/>
  <c r="G106" i="1"/>
  <c r="U106" i="1"/>
  <c r="S10" i="1"/>
  <c r="Q8" i="1"/>
  <c r="S8" i="1"/>
  <c r="O12" i="1"/>
  <c r="V68" i="1"/>
  <c r="O9" i="1"/>
  <c r="V9" i="1"/>
  <c r="H11" i="1"/>
  <c r="Q10" i="1"/>
  <c r="T106" i="1"/>
  <c r="U9" i="1"/>
  <c r="H8" i="1"/>
  <c r="V106" i="1"/>
  <c r="N9" i="1"/>
  <c r="H6" i="1"/>
  <c r="X6" i="1" s="1"/>
  <c r="Y6" i="1" s="1"/>
  <c r="H12" i="1"/>
  <c r="S68" i="1"/>
  <c r="X83" i="1"/>
  <c r="Y83" i="1" s="1"/>
  <c r="G163" i="1"/>
  <c r="Q9" i="1"/>
  <c r="X103" i="1"/>
  <c r="Y103" i="1" s="1"/>
  <c r="X119" i="1"/>
  <c r="Y119" i="1" s="1"/>
  <c r="X133" i="1"/>
  <c r="Y133" i="1" s="1"/>
  <c r="N11" i="1"/>
  <c r="X172" i="1"/>
  <c r="Y172" i="1" s="1"/>
  <c r="O23" i="1"/>
  <c r="O11" i="1"/>
  <c r="H68" i="1"/>
  <c r="T9" i="1"/>
  <c r="V5" i="1"/>
  <c r="V6" i="1" s="1"/>
  <c r="T10" i="1"/>
  <c r="S12" i="1"/>
  <c r="P9" i="1"/>
  <c r="N10" i="1"/>
  <c r="R10" i="1"/>
  <c r="V10" i="1"/>
  <c r="L163" i="1"/>
  <c r="G175" i="1"/>
  <c r="K175" i="1" s="1"/>
  <c r="R12" i="1"/>
  <c r="P136" i="1"/>
  <c r="U10" i="1"/>
  <c r="S11" i="1"/>
  <c r="N12" i="1"/>
  <c r="V12" i="1"/>
  <c r="X18" i="1"/>
  <c r="X23" i="1"/>
  <c r="N68" i="1"/>
  <c r="T68" i="1"/>
  <c r="G68" i="1"/>
  <c r="R8" i="1"/>
  <c r="N106" i="1"/>
  <c r="H9" i="1"/>
  <c r="G136" i="1"/>
  <c r="P11" i="1"/>
  <c r="X160" i="1"/>
  <c r="Y160" i="1" s="1"/>
  <c r="O41" i="1"/>
  <c r="O5" i="1" s="1"/>
  <c r="O6" i="1" s="1"/>
  <c r="P8" i="1"/>
  <c r="O65" i="1"/>
  <c r="O8" i="1" s="1"/>
  <c r="J103" i="1"/>
  <c r="K103" i="1" s="1"/>
  <c r="J136" i="1"/>
  <c r="J41" i="1"/>
  <c r="K41" i="1" s="1"/>
  <c r="J65" i="1"/>
  <c r="K65" i="1" s="1"/>
  <c r="J160" i="1"/>
  <c r="P23" i="1"/>
  <c r="N22" i="1"/>
  <c r="N23" i="1" s="1"/>
  <c r="J83" i="1"/>
  <c r="K83" i="1" s="1"/>
  <c r="P106" i="1"/>
  <c r="P68" i="1"/>
  <c r="P5" i="1"/>
  <c r="P6" i="1" s="1"/>
  <c r="R68" i="1"/>
  <c r="U163" i="1"/>
  <c r="P175" i="1"/>
  <c r="P12" i="1"/>
  <c r="T175" i="1"/>
  <c r="T12" i="1"/>
  <c r="G25" i="1"/>
  <c r="K25" i="1" s="1"/>
  <c r="H10" i="1"/>
  <c r="N18" i="1"/>
  <c r="X51" i="1"/>
  <c r="Y51" i="1" s="1"/>
  <c r="X65" i="1"/>
  <c r="Y65" i="1" s="1"/>
  <c r="H106" i="1"/>
  <c r="O163" i="1"/>
  <c r="N163" i="1"/>
  <c r="Q175" i="1"/>
  <c r="Q12" i="1"/>
  <c r="U175" i="1"/>
  <c r="U12" i="1"/>
  <c r="S106" i="1"/>
  <c r="Q68" i="1"/>
  <c r="Q5" i="1"/>
  <c r="Q6" i="1" s="1"/>
  <c r="U68" i="1"/>
  <c r="U5" i="1"/>
  <c r="U6" i="1" s="1"/>
  <c r="O106" i="1"/>
  <c r="N136" i="1"/>
  <c r="R136" i="1"/>
  <c r="V136" i="1"/>
  <c r="P163" i="1"/>
  <c r="Q163" i="1"/>
  <c r="G9" i="2" l="1"/>
  <c r="G8" i="2"/>
  <c r="G12" i="2"/>
  <c r="G11" i="2"/>
  <c r="J25" i="2"/>
  <c r="K25" i="2" s="1"/>
  <c r="M25" i="2"/>
  <c r="G10" i="2"/>
  <c r="J14" i="2"/>
  <c r="I136" i="1"/>
  <c r="K136" i="1"/>
  <c r="J163" i="1"/>
  <c r="K163" i="1" s="1"/>
  <c r="K160" i="1"/>
  <c r="I68" i="1"/>
  <c r="I106" i="1"/>
  <c r="X136" i="1"/>
  <c r="Y136" i="1" s="1"/>
  <c r="X10" i="1"/>
  <c r="Y10" i="1" s="1"/>
  <c r="I10" i="1"/>
  <c r="X175" i="1"/>
  <c r="Y175" i="1" s="1"/>
  <c r="I175" i="1"/>
  <c r="X9" i="1"/>
  <c r="Y9" i="1" s="1"/>
  <c r="I9" i="1"/>
  <c r="X8" i="1"/>
  <c r="Y8" i="1" s="1"/>
  <c r="I8" i="1"/>
  <c r="X163" i="1"/>
  <c r="Y163" i="1" s="1"/>
  <c r="I163" i="1"/>
  <c r="X106" i="1"/>
  <c r="Y106" i="1" s="1"/>
  <c r="I6" i="1"/>
  <c r="X12" i="1"/>
  <c r="Y12" i="1" s="1"/>
  <c r="I12" i="1"/>
  <c r="X11" i="1"/>
  <c r="Y11" i="1" s="1"/>
  <c r="I11" i="1"/>
  <c r="S13" i="1"/>
  <c r="S25" i="1" s="1"/>
  <c r="O13" i="1"/>
  <c r="O25" i="1" s="1"/>
  <c r="N13" i="1"/>
  <c r="N25" i="1" s="1"/>
  <c r="Q13" i="1"/>
  <c r="Q25" i="1" s="1"/>
  <c r="U13" i="1"/>
  <c r="U25" i="1" s="1"/>
  <c r="V13" i="1"/>
  <c r="V25" i="1" s="1"/>
  <c r="P13" i="1"/>
  <c r="P25" i="1" s="1"/>
  <c r="O68" i="1"/>
  <c r="J106" i="1"/>
  <c r="K106" i="1" s="1"/>
  <c r="R13" i="1"/>
  <c r="R25" i="1" s="1"/>
  <c r="T13" i="1"/>
  <c r="T25" i="1" s="1"/>
  <c r="T27" i="1" s="1"/>
  <c r="X68" i="1"/>
  <c r="Y68" i="1" s="1"/>
  <c r="J68" i="1"/>
  <c r="K68" i="1" s="1"/>
  <c r="H13" i="1"/>
  <c r="I13" i="1" s="1"/>
  <c r="G13" i="2" l="1"/>
  <c r="G25" i="2" s="1"/>
  <c r="H25" i="1"/>
  <c r="X13" i="1"/>
  <c r="Y13" i="1" s="1"/>
  <c r="X25" i="1" l="1"/>
  <c r="Y25" i="1" s="1"/>
  <c r="I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tc={721AD601-463F-4931-8F76-2EC80D4BA0C6}</author>
  </authors>
  <commentList>
    <comment ref="D19" authorId="0" shapeId="0" xr:uid="{721AD601-463F-4931-8F76-2EC80D4BA0C6}">
      <text>
        <t>[Threaded comment]
Your version of Excel allows you to read this threaded comment; however, any edits to it will get removed if the file is opened in a newer version of Excel. Learn more: https://go.microsoft.com/fwlink/?linkid=870924
Comment:
    No assessments in the first quarter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Tracy Mckenzie</author>
  </authors>
  <commentList>
    <comment ref="M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Tracy Mckenzie:</t>
        </r>
        <r>
          <rPr>
            <sz val="9"/>
            <color indexed="81"/>
            <rFont val="Tahoma"/>
            <family val="2"/>
          </rPr>
          <t xml:space="preserve">
Credited back to Owners in March 2018</t>
        </r>
      </text>
    </comment>
    <comment ref="N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Tracy Mckenzie:</t>
        </r>
        <r>
          <rPr>
            <sz val="9"/>
            <color indexed="81"/>
            <rFont val="Tahoma"/>
            <family val="2"/>
          </rPr>
          <t xml:space="preserve">
Moved to Major Reserve in 2017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tc={721AD601-463F-4932-8F76-2EC80D4BA0C6}</author>
  </authors>
  <commentList>
    <comment ref="D19" authorId="0" shapeId="0" xr:uid="{8D6FB13C-9E22-4576-ACFC-8675B07C89FC}">
      <text>
        <t>[Threaded comment]
Your version of Excel allows you to read this threaded comment; however, any edits to it will get removed if the file is opened in a newer version of Excel. Learn more: https://go.microsoft.com/fwlink/?linkid=870924
Comment:
    No assessments in the first quarter</t>
      </text>
    </comment>
  </commentList>
</comments>
</file>

<file path=xl/sharedStrings.xml><?xml version="1.0" encoding="utf-8"?>
<sst xmlns="http://schemas.openxmlformats.org/spreadsheetml/2006/main" count="1470" uniqueCount="577">
  <si>
    <t>SUMMARY</t>
  </si>
  <si>
    <t>BUDGET 2021</t>
  </si>
  <si>
    <t>ACTUAL 2020</t>
  </si>
  <si>
    <t>ACTUAL 2018</t>
  </si>
  <si>
    <t>ACTUAL 2017</t>
  </si>
  <si>
    <t>ACTUAL 2016</t>
  </si>
  <si>
    <t>ACTUAL 2015</t>
  </si>
  <si>
    <t>ACTUAL 2014</t>
  </si>
  <si>
    <t>ACTUAL 2013</t>
  </si>
  <si>
    <t>ACTUAL 2012</t>
  </si>
  <si>
    <t>ACTUAL 2011</t>
  </si>
  <si>
    <t>ACTUAL 2010</t>
  </si>
  <si>
    <t>ACTUAL 2009</t>
  </si>
  <si>
    <t>ACTUAL 2008</t>
  </si>
  <si>
    <t>Var Bud-21 Actual-20</t>
  </si>
  <si>
    <t>Revenues</t>
  </si>
  <si>
    <t>TOTAL REVENUES</t>
  </si>
  <si>
    <t>Admin &amp; General</t>
  </si>
  <si>
    <t>Maintenance</t>
  </si>
  <si>
    <t>Pool &amp; Beach</t>
  </si>
  <si>
    <t>Common Areas</t>
  </si>
  <si>
    <t>Utilities</t>
  </si>
  <si>
    <t>TOTAL EXPENSES</t>
  </si>
  <si>
    <t>Insurance Assessment</t>
  </si>
  <si>
    <t>Insurance Expenses</t>
  </si>
  <si>
    <t>Management Fee</t>
  </si>
  <si>
    <t>TOTAL INSURANCE</t>
  </si>
  <si>
    <t>Capex Reserve Assessment</t>
  </si>
  <si>
    <t>Major Reserve Assessment</t>
  </si>
  <si>
    <t>Reserve Fund</t>
  </si>
  <si>
    <t>TOTAL RESERVE FUND</t>
  </si>
  <si>
    <t>INCOME/ (LOSS)</t>
  </si>
  <si>
    <t>2015-2013 BALANCE MOVED TO RESERVE IN 2016</t>
  </si>
  <si>
    <t>Before maintenance</t>
  </si>
  <si>
    <t>Before PPC claim reimbursement</t>
  </si>
  <si>
    <t>ADMIN &amp; GENERAL</t>
  </si>
  <si>
    <t>allocations</t>
  </si>
  <si>
    <t>REVENUES</t>
  </si>
  <si>
    <t>Strata Fees</t>
  </si>
  <si>
    <t>Strata Garage Fees</t>
  </si>
  <si>
    <t>Watersport Contribution</t>
  </si>
  <si>
    <t>Maintenance Revenue</t>
  </si>
  <si>
    <t>Income from water</t>
  </si>
  <si>
    <t>Income from power</t>
  </si>
  <si>
    <t>Income from cable</t>
  </si>
  <si>
    <t>Income from pest control</t>
  </si>
  <si>
    <t>Other Income</t>
  </si>
  <si>
    <t>Interest Income</t>
  </si>
  <si>
    <t>PAYROLL EXPENSES</t>
  </si>
  <si>
    <t>Security Payroll</t>
  </si>
  <si>
    <t>Supplemental pay</t>
  </si>
  <si>
    <t>Employee meals</t>
  </si>
  <si>
    <t>Bonus provision</t>
  </si>
  <si>
    <t>Employee housing</t>
  </si>
  <si>
    <t>Payroll taxes</t>
  </si>
  <si>
    <t>TOTAL PAYROLL &amp; BENEFITS</t>
  </si>
  <si>
    <t>OTHER EXPENSES</t>
  </si>
  <si>
    <t>Bank Charges</t>
  </si>
  <si>
    <t>Work Permits</t>
  </si>
  <si>
    <t>Security Services &amp; supplies</t>
  </si>
  <si>
    <t>Surveillance systems</t>
  </si>
  <si>
    <t>Telephone</t>
  </si>
  <si>
    <t>D &amp; O Liability Insurance</t>
  </si>
  <si>
    <t>Gym</t>
  </si>
  <si>
    <t>Other expenses</t>
  </si>
  <si>
    <t>Strata Lot Management Fees</t>
  </si>
  <si>
    <t>Travelling expenses</t>
  </si>
  <si>
    <t>TOTAL OTHER EXPENSES</t>
  </si>
  <si>
    <t>DEPARTMENTAL INCOME</t>
  </si>
  <si>
    <t>Dpt. Income (Profit)/Loss</t>
  </si>
  <si>
    <t>MAINTENANCE</t>
  </si>
  <si>
    <t>Grounds</t>
  </si>
  <si>
    <t>Sewage treatment plant</t>
  </si>
  <si>
    <t>Employee Meals</t>
  </si>
  <si>
    <t>Automobile</t>
  </si>
  <si>
    <t>A/C related</t>
  </si>
  <si>
    <t>Maintenance supplies</t>
  </si>
  <si>
    <t>Building maintenance</t>
  </si>
  <si>
    <t>Office supplies</t>
  </si>
  <si>
    <t>Uniforms</t>
  </si>
  <si>
    <t>Painting &amp; decoration</t>
  </si>
  <si>
    <t>Electrical &amp; bulbs</t>
  </si>
  <si>
    <t>Locks &amp; Keys</t>
  </si>
  <si>
    <t>Hurricane</t>
  </si>
  <si>
    <t>Elevator</t>
  </si>
  <si>
    <t>Garbage removal</t>
  </si>
  <si>
    <t>Fire protection</t>
  </si>
  <si>
    <t>Grounds &amp; Landscaping</t>
  </si>
  <si>
    <t>Sewage treatment</t>
  </si>
  <si>
    <t>POOL &amp; BEACH</t>
  </si>
  <si>
    <t>Allocation Management Co.</t>
  </si>
  <si>
    <t>Pool &amp; beach supplies</t>
  </si>
  <si>
    <t>Watersport supplies</t>
  </si>
  <si>
    <t>Laundry</t>
  </si>
  <si>
    <t>Miscellaneous</t>
  </si>
  <si>
    <t>Swimming pool chemicals</t>
  </si>
  <si>
    <t>Swimming pool repairs</t>
  </si>
  <si>
    <t>Watersport repairs</t>
  </si>
  <si>
    <t>COMMON AREA</t>
  </si>
  <si>
    <t>Common area</t>
  </si>
  <si>
    <t>Total Payroll Expenses</t>
  </si>
  <si>
    <t>Total Benefits</t>
  </si>
  <si>
    <t>Payroll &amp; Benefits</t>
  </si>
  <si>
    <t>Cleaning supplies</t>
  </si>
  <si>
    <t>Purchase allocation</t>
  </si>
  <si>
    <t>ENERGY</t>
  </si>
  <si>
    <t>Electricity</t>
  </si>
  <si>
    <t>Water</t>
  </si>
  <si>
    <t>Gas</t>
  </si>
  <si>
    <t>ACTUAL 2019</t>
  </si>
  <si>
    <t>Pool &amp; beach umbrella. &amp; furn</t>
  </si>
  <si>
    <t>B 2021 vs 2020</t>
  </si>
  <si>
    <t>B 2021 vs A2019</t>
  </si>
  <si>
    <t>PROPRIETORS STRATA PLAN # 50</t>
  </si>
  <si>
    <t>PROJECT #</t>
  </si>
  <si>
    <t>CAPITAL RESERVE FUND</t>
  </si>
  <si>
    <t>Budget</t>
  </si>
  <si>
    <t xml:space="preserve">Actual </t>
  </si>
  <si>
    <t>Forecast</t>
  </si>
  <si>
    <t xml:space="preserve">Variance   </t>
  </si>
  <si>
    <t>remainder</t>
  </si>
  <si>
    <t>Total year</t>
  </si>
  <si>
    <t>to Budget</t>
  </si>
  <si>
    <t>Comments</t>
  </si>
  <si>
    <t xml:space="preserve">Landscaping Equipment/Plants/Fertilizers </t>
  </si>
  <si>
    <t>Landscaping and Pathway and up Lights-Lighting</t>
  </si>
  <si>
    <t>Exterior Building Cleaning</t>
  </si>
  <si>
    <t>Pool Furniture</t>
  </si>
  <si>
    <t>Beach Furniture</t>
  </si>
  <si>
    <t>Watersports Equipment</t>
  </si>
  <si>
    <t>Actual</t>
  </si>
  <si>
    <t>PROJECT</t>
  </si>
  <si>
    <t>MAJOR RESERVE FUND</t>
  </si>
  <si>
    <t>Water Intrusions</t>
  </si>
  <si>
    <t>YEAR 2012</t>
  </si>
  <si>
    <t>RESERVE FUNDS</t>
  </si>
  <si>
    <t>CAPITAL</t>
  </si>
  <si>
    <t>MAJOR</t>
  </si>
  <si>
    <t>TOTAL</t>
  </si>
  <si>
    <t>OPENING BALANCE 2012:</t>
  </si>
  <si>
    <t>February</t>
  </si>
  <si>
    <t>March</t>
  </si>
  <si>
    <t>April</t>
  </si>
  <si>
    <t>May</t>
  </si>
  <si>
    <t>June</t>
  </si>
  <si>
    <t>July</t>
  </si>
  <si>
    <t>September</t>
  </si>
  <si>
    <t>October</t>
  </si>
  <si>
    <t>PROPRIETORS STRATA PLAN # 50 - BUDGET 2022</t>
  </si>
  <si>
    <t>BUDGET 2022</t>
  </si>
  <si>
    <t>B 2022 vs A/B 2021</t>
  </si>
  <si>
    <t>%</t>
  </si>
  <si>
    <t>ACT 2021</t>
  </si>
  <si>
    <t>ACTUAL 2021</t>
  </si>
  <si>
    <t>B 2022 vs Act 2021</t>
  </si>
  <si>
    <t>Act 2021 vs Bud 2021</t>
  </si>
  <si>
    <t>SAP</t>
  </si>
  <si>
    <t xml:space="preserve">SAP </t>
  </si>
  <si>
    <t>ACCPAC</t>
  </si>
  <si>
    <t>Ending Balance</t>
  </si>
  <si>
    <t>Net Activity 10/00</t>
  </si>
  <si>
    <t xml:space="preserve">Ending Balance </t>
  </si>
  <si>
    <t>DR</t>
  </si>
  <si>
    <t>CR</t>
  </si>
  <si>
    <t xml:space="preserve">Account </t>
  </si>
  <si>
    <t>Description</t>
  </si>
  <si>
    <t>=========</t>
  </si>
  <si>
    <t>==================================</t>
  </si>
  <si>
    <t>=================</t>
  </si>
  <si>
    <t>===================</t>
  </si>
  <si>
    <t>====================</t>
  </si>
  <si>
    <t>=============</t>
  </si>
  <si>
    <t>CASH</t>
  </si>
  <si>
    <t>101030-01</t>
  </si>
  <si>
    <t>OPERATING ACCOUNT</t>
  </si>
  <si>
    <t>101036-01</t>
  </si>
  <si>
    <t>DEPOSIT ACCOUNT (1 YEAR)</t>
  </si>
  <si>
    <t>101037-01</t>
  </si>
  <si>
    <t>DEPOSIT ACCOUNT (30 DAYS)</t>
  </si>
  <si>
    <t>OTHER RECEIVABLES</t>
  </si>
  <si>
    <t>111050-01</t>
  </si>
  <si>
    <t>RECEIVABLE SOMERSET (WWTP)</t>
  </si>
  <si>
    <t>111052-01</t>
  </si>
  <si>
    <t>111070-01</t>
  </si>
  <si>
    <t>INTERCOMPANY MANAGEMENT CO</t>
  </si>
  <si>
    <t xml:space="preserve"> </t>
  </si>
  <si>
    <t>INVENTORIES</t>
  </si>
  <si>
    <t>123058-01</t>
  </si>
  <si>
    <t>ENGINEERING INVENTORY</t>
  </si>
  <si>
    <t>124010-01</t>
  </si>
  <si>
    <t>HURRICANE INVENTORY</t>
  </si>
  <si>
    <t>PREPAIDS</t>
  </si>
  <si>
    <t>130001-01</t>
  </si>
  <si>
    <t>PREPAID INSURANCE</t>
  </si>
  <si>
    <t>130009-01</t>
  </si>
  <si>
    <t>PREPAID OTHERS</t>
  </si>
  <si>
    <t>DEPOSITS</t>
  </si>
  <si>
    <t>131001-01</t>
  </si>
  <si>
    <t>DEPOSITS VENDORS</t>
  </si>
  <si>
    <t>OTHER ASSETS</t>
  </si>
  <si>
    <t>259010-01</t>
  </si>
  <si>
    <t>ACCRUED OTHER EXPENSES</t>
  </si>
  <si>
    <t>TOTAL ASSETS</t>
  </si>
  <si>
    <t>TRADE PAYABLES</t>
  </si>
  <si>
    <t>ACCRUED EXPENSES</t>
  </si>
  <si>
    <t>252001-01</t>
  </si>
  <si>
    <t>ACCRUED SALARIES/WAGES</t>
  </si>
  <si>
    <t>ACCRUED OTHERS</t>
  </si>
  <si>
    <t>DEPOSITS/DEFERRED INCOME</t>
  </si>
  <si>
    <t>OWNERS EQUITY</t>
  </si>
  <si>
    <t>180053-01</t>
  </si>
  <si>
    <t>RESERVE FUND WWTP</t>
  </si>
  <si>
    <t>276004-01</t>
  </si>
  <si>
    <t>RESERVE FUNDS (CAPITAL + MAJOR)</t>
  </si>
  <si>
    <t>286001-01</t>
  </si>
  <si>
    <t>RETAINED EARNINGS PRIOR YEARS</t>
  </si>
  <si>
    <t>CURRENT EARNINGS</t>
  </si>
  <si>
    <t>TOTAL LIABILITIES &amp; OWNERS EQUITY</t>
  </si>
  <si>
    <t>CONTROL</t>
  </si>
  <si>
    <t>THE PALMS - STRATA</t>
  </si>
  <si>
    <t>Premium summary:</t>
  </si>
  <si>
    <t>Public Liability</t>
  </si>
  <si>
    <t>Terrorism</t>
  </si>
  <si>
    <t xml:space="preserve">TOTAL </t>
  </si>
  <si>
    <t>increase</t>
  </si>
  <si>
    <t>PERGOLA PROJECT - CLEARING ACCOUNT</t>
  </si>
  <si>
    <t>Proprietors of Strata Plan #50</t>
  </si>
  <si>
    <t>Reserve Funds (equity)</t>
  </si>
  <si>
    <t>Reserve Funds (term deposits funded)</t>
  </si>
  <si>
    <t>Balance to be funded before adjustements (A)</t>
  </si>
  <si>
    <t>Inventories advanced by Management Co.</t>
  </si>
  <si>
    <t>Retained earnings held by Management Co.</t>
  </si>
  <si>
    <t>Current earnings advanced by Management Co.</t>
  </si>
  <si>
    <t>Total cash adjustments (B)</t>
  </si>
  <si>
    <t>Term deposit to be funded (A+B)</t>
  </si>
  <si>
    <t>rounded =)</t>
  </si>
  <si>
    <t>**</t>
  </si>
  <si>
    <t>RESERVE FUNDS  2023</t>
  </si>
  <si>
    <t>OPENING BALANCE 2023:</t>
  </si>
  <si>
    <t>BALANCE ESTIMATED DECEMBER 2023</t>
  </si>
  <si>
    <t>MAJOR EXPENDITURES  - 2023</t>
  </si>
  <si>
    <t>23M-01</t>
  </si>
  <si>
    <t>23M-02</t>
  </si>
  <si>
    <t>Fastening Pergolas</t>
  </si>
  <si>
    <t>23M-03</t>
  </si>
  <si>
    <t>Fire pump</t>
  </si>
  <si>
    <t>23M-04</t>
  </si>
  <si>
    <t>Garage Roofs</t>
  </si>
  <si>
    <t>23M-05</t>
  </si>
  <si>
    <t>Rescue Boat - Whaly 370 Center Console</t>
  </si>
  <si>
    <t>TOTAL 2023 MAJOR RESERVE FUND</t>
  </si>
  <si>
    <t>CAPITAL EXPENDITURES  - 2023 BUDGET</t>
  </si>
  <si>
    <t>23C-01</t>
  </si>
  <si>
    <t>23C-02</t>
  </si>
  <si>
    <t>23C-03</t>
  </si>
  <si>
    <t>Parking Lot Curbs/Repair-Repainting &amp; Sidewalk Treatment</t>
  </si>
  <si>
    <t>23C-04</t>
  </si>
  <si>
    <t>23C-05</t>
  </si>
  <si>
    <t>Gym Equipment - Peleton, Treadmill Motors &amp; Motherboards</t>
  </si>
  <si>
    <t>23C-06</t>
  </si>
  <si>
    <t>23C-07</t>
  </si>
  <si>
    <t>23C-08</t>
  </si>
  <si>
    <t>23C-09</t>
  </si>
  <si>
    <t>Pool heater</t>
  </si>
  <si>
    <t>23C-10</t>
  </si>
  <si>
    <t>Irrigation pump</t>
  </si>
  <si>
    <t>23C-11</t>
  </si>
  <si>
    <t>Jacuzzi  Pump &amp; Pool Pump</t>
  </si>
  <si>
    <t>23C-12</t>
  </si>
  <si>
    <t xml:space="preserve">Engineering Tools </t>
  </si>
  <si>
    <t>23C-13</t>
  </si>
  <si>
    <t xml:space="preserve">Pool Lights </t>
  </si>
  <si>
    <t>23C-14</t>
  </si>
  <si>
    <t>Pool Diamond Brite Repairs</t>
  </si>
  <si>
    <t>23C-15</t>
  </si>
  <si>
    <t>Security Gate Upgrade</t>
  </si>
  <si>
    <t>23C-16</t>
  </si>
  <si>
    <t xml:space="preserve">Variance Balance </t>
  </si>
  <si>
    <t>OWNER RECEIVABLES</t>
  </si>
  <si>
    <t>TOTAL 2023 CAPITAL RESERVE FUND</t>
  </si>
  <si>
    <t>PROPRIETORS STRATA PLAN # 50 - BUDGET 2023</t>
  </si>
  <si>
    <t>BUDGET 2023</t>
  </si>
  <si>
    <t>ACTUAL 2022</t>
  </si>
  <si>
    <t>FUEL FACTOR  FORTIS - TURKS &amp; CAICOS ISLANDS</t>
  </si>
  <si>
    <t>Date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</si>
  <si>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</si>
  <si>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</si>
  <si>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</si>
  <si>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</si>
  <si>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</si>
  <si>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</si>
  <si>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</si>
  <si>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</si>
  <si>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</si>
  <si>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</si>
  <si>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</si>
  <si>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</si>
  <si>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</si>
  <si>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>Jan-08</t>
  </si>
  <si>
    <t>Feb-08</t>
  </si>
  <si>
    <t>Mar-08</t>
  </si>
  <si>
    <t>Apr-08</t>
  </si>
  <si>
    <t>May-08</t>
  </si>
  <si>
    <t>Jun-08</t>
  </si>
  <si>
    <t>Jul-08</t>
  </si>
  <si>
    <t>Aug-08</t>
  </si>
  <si>
    <t>Sep-08</t>
  </si>
  <si>
    <t>Oct-08</t>
  </si>
  <si>
    <t>Nov-08</t>
  </si>
  <si>
    <t>Dec-08</t>
  </si>
  <si>
    <t>Jan-09</t>
  </si>
  <si>
    <t>Feb-09</t>
  </si>
  <si>
    <t>Mar-09</t>
  </si>
  <si>
    <t>Apr-09</t>
  </si>
  <si>
    <t>May-09</t>
  </si>
  <si>
    <t>Jun-09</t>
  </si>
  <si>
    <t>Jul-09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</si>
  <si>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</si>
  <si>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</si>
  <si>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</si>
  <si>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</si>
  <si>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</si>
  <si>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</si>
  <si>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</si>
  <si>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</si>
  <si>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Apr-10</t>
  </si>
  <si>
    <t>May-10</t>
  </si>
  <si>
    <t>Jun-10</t>
  </si>
  <si>
    <t>Jul-10</t>
  </si>
  <si>
    <t>Aug-10</t>
  </si>
  <si>
    <t>Sep-10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</si>
  <si>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</si>
  <si>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</si>
  <si>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</si>
  <si>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</si>
  <si>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</si>
  <si>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</si>
  <si>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</si>
  <si>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</si>
  <si>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</si>
  <si>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</si>
  <si>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Aug-11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</si>
  <si>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</si>
  <si>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</si>
  <si>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</si>
  <si>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</si>
  <si>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</si>
  <si>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</si>
  <si>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</si>
  <si>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</si>
  <si>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</si>
  <si>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Jun-12</t>
  </si>
  <si>
    <t>Jul-12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</si>
  <si>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</si>
  <si>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</si>
  <si>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</si>
  <si>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</si>
  <si>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</si>
  <si>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</si>
  <si>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</si>
  <si>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</si>
  <si>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</si>
  <si>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</si>
  <si>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</si>
  <si>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Jul-13</t>
  </si>
  <si>
    <t>Aug-13</t>
  </si>
  <si>
    <t>Sep-13</t>
  </si>
  <si>
    <t>Oct-13</t>
  </si>
  <si>
    <t>Nov-13</t>
  </si>
  <si>
    <t>Dec-13</t>
  </si>
  <si>
    <t>Jaqn-14</t>
  </si>
  <si>
    <t>Feb-14</t>
  </si>
  <si>
    <t>Mar-14</t>
  </si>
  <si>
    <t>Apr-14</t>
  </si>
  <si>
    <t>May-14</t>
  </si>
  <si>
    <t>Jun-14</t>
  </si>
  <si>
    <t>Jul-14</t>
  </si>
  <si>
    <t>Aug-14</t>
  </si>
  <si>
    <t>Sep-14</t>
  </si>
  <si>
    <t>Oct-14</t>
  </si>
  <si>
    <t>Nov-14</t>
  </si>
  <si>
    <t>Dec-14</t>
  </si>
  <si>
    <t>Jan-15</t>
  </si>
  <si>
    <t>Feb-15</t>
  </si>
  <si>
    <t>Mar-15</t>
  </si>
  <si>
    <t>Apr-15</t>
  </si>
  <si>
    <t>May-15</t>
  </si>
  <si>
    <t>Jun-15</t>
  </si>
  <si>
    <t>Jul-15</t>
  </si>
  <si>
    <t>Aug-15</t>
  </si>
  <si>
    <t>Sep-15</t>
  </si>
  <si>
    <t>Oct-15</t>
  </si>
  <si>
    <t>Nov-15</t>
  </si>
  <si>
    <t>Dec-15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</si>
  <si>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</si>
  <si>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</si>
  <si>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</si>
  <si>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</si>
  <si>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</si>
  <si>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</si>
  <si>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</si>
  <si>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</si>
  <si>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</si>
  <si>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</si>
  <si>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</si>
  <si>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</si>
  <si>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year over year variances</t>
  </si>
  <si>
    <t>2018 vs 2008</t>
  </si>
  <si>
    <t>2018 vs 2009</t>
  </si>
  <si>
    <t>2018 vs 2010</t>
  </si>
  <si>
    <t>2018 vs 2011</t>
  </si>
  <si>
    <t>2018 vs 2012</t>
  </si>
  <si>
    <t>2018 vs 2013</t>
  </si>
  <si>
    <t>2018 vs 2014</t>
  </si>
  <si>
    <t>2018 vs 2015</t>
  </si>
  <si>
    <t>2018 vs 2017</t>
  </si>
  <si>
    <t>2019 vs 2018</t>
  </si>
  <si>
    <t>2020 vs 2019</t>
  </si>
  <si>
    <t>2021 vs 2020</t>
  </si>
  <si>
    <t>2022 vs 2021</t>
  </si>
  <si>
    <t>2023 vs 2022</t>
  </si>
  <si>
    <t>Historical fuel factor</t>
  </si>
  <si>
    <t>ACTUAL 2023</t>
  </si>
  <si>
    <t>PROPRIETORS STRATA PLAN # 50 - ACTUAL 2023</t>
  </si>
  <si>
    <t>Act 2023 vs Bud 2023</t>
  </si>
  <si>
    <t>2024 vs 2023</t>
  </si>
  <si>
    <t>Balance sheet as of December 31, 2023</t>
  </si>
  <si>
    <t>111051-01</t>
  </si>
  <si>
    <t>Paid by ER</t>
  </si>
  <si>
    <t>cleared to hurricane expense</t>
  </si>
  <si>
    <t>111053-01</t>
  </si>
  <si>
    <t>GILLEN HALL DESIGN PROJECT - CLEARING ACCOUNT</t>
  </si>
  <si>
    <t>Pending Rooms project charges</t>
  </si>
  <si>
    <t>Dec YTD 2023</t>
  </si>
  <si>
    <t xml:space="preserve">Upgrade controls for Lift station. </t>
  </si>
  <si>
    <t>Recovery on Sale of Nissan Frontier (Reserve purchase 2012)</t>
  </si>
  <si>
    <t xml:space="preserve">Variance to    </t>
  </si>
  <si>
    <t>carryforward to 2024</t>
  </si>
  <si>
    <t>Hilux Truck</t>
  </si>
  <si>
    <t>offset comes from Fire Pump under budget, balance paid in 2024</t>
  </si>
  <si>
    <t>Termite Treatment</t>
  </si>
  <si>
    <t>FUNDINGS AS OF JAN to DEC 2023</t>
  </si>
  <si>
    <t>EXPENDITURES JAN to DEC 2023</t>
  </si>
  <si>
    <t>ENDING BALANCE DEC 2023</t>
  </si>
  <si>
    <t>FUNDINGS DEC 2023</t>
  </si>
  <si>
    <t>FORECAST EXPENDITURES DEC 2023</t>
  </si>
  <si>
    <t>BUDGET 2024</t>
  </si>
  <si>
    <t>Actual 2023</t>
  </si>
  <si>
    <t>B 2024 vs Act 2023</t>
  </si>
  <si>
    <t>THE PALMS</t>
  </si>
  <si>
    <t>CAPITAL EXPENDITURES  - 2024</t>
  </si>
  <si>
    <t>Proposed Budget 2024</t>
  </si>
  <si>
    <t>24C-01</t>
  </si>
  <si>
    <t>Landscaping Equipment/ Plants/Fertilizers/ Oceanfront Palm Trees</t>
  </si>
  <si>
    <t>24C-02</t>
  </si>
  <si>
    <t>Landscaping and Pathway Lighting</t>
  </si>
  <si>
    <t>24C-03</t>
  </si>
  <si>
    <t>Parking lot Curbs / Repair - Repainting &amp; Sidewalk Treatment</t>
  </si>
  <si>
    <t>24C-04</t>
  </si>
  <si>
    <t>Pathway Signs</t>
  </si>
  <si>
    <t>24C-05</t>
  </si>
  <si>
    <t>Exterior Building Cleaning (done with Window cleaning below)</t>
  </si>
  <si>
    <t>24C-06</t>
  </si>
  <si>
    <t>Suite Exterior Window Cleaning during closure - Scafolding</t>
  </si>
  <si>
    <t>24C-07</t>
  </si>
  <si>
    <t>Gym Equipment - Cross Trainer / Elliptical / Flooring Repairs</t>
  </si>
  <si>
    <t>24C-08</t>
  </si>
  <si>
    <t>Beach Furniture - 15 umbrellas, 10 Chaises, Clamshell Repairs/Refurbishment, Chaise and Chair Sling Replacements</t>
  </si>
  <si>
    <t>24C-09</t>
  </si>
  <si>
    <t>Beach Rescue Boat Trailer - to remove to the beach in rough seas</t>
  </si>
  <si>
    <t>24C-10</t>
  </si>
  <si>
    <t>Watersports Equipment- Single and Double Kayak, 3 Paddle Boards, Hobie Sail</t>
  </si>
  <si>
    <t>24C-11</t>
  </si>
  <si>
    <t xml:space="preserve">New Ice machine </t>
  </si>
  <si>
    <t>24C-12</t>
  </si>
  <si>
    <t xml:space="preserve">Pool Furniture- 5 Umbrellas and Bases, 10 Side Tables, Cushion Repairs and Repalcements, Chaise refubishments </t>
  </si>
  <si>
    <t>24C-13</t>
  </si>
  <si>
    <t>24C-14</t>
  </si>
  <si>
    <t>Pool Heater</t>
  </si>
  <si>
    <t>24C-15</t>
  </si>
  <si>
    <t>Jacuzzi &amp; Pool Pump</t>
  </si>
  <si>
    <t>24C-16</t>
  </si>
  <si>
    <t>Irrigation Pump</t>
  </si>
  <si>
    <t>24C-17</t>
  </si>
  <si>
    <t>Dumpster Concrete Slab Repour</t>
  </si>
  <si>
    <t>24C-18</t>
  </si>
  <si>
    <t>Updated BCQS Report</t>
  </si>
  <si>
    <t>24C-19</t>
  </si>
  <si>
    <t>CCTV System Upgrade</t>
  </si>
  <si>
    <t>24C-20</t>
  </si>
  <si>
    <t>TOTAL BUDGET 2024 CAPITAL RESERVE FUND</t>
  </si>
  <si>
    <t>Budget 2024</t>
  </si>
  <si>
    <t>24M-01</t>
  </si>
  <si>
    <t>Flat Roofing Resealing of Membrane During Closure (8) - (originally multi-year project &amp; done 10 years ago)</t>
  </si>
  <si>
    <t>24M-02</t>
  </si>
  <si>
    <t>Pool Resurfacing Diamondbrite</t>
  </si>
  <si>
    <t>24M-03</t>
  </si>
  <si>
    <t xml:space="preserve">Stairwell Painting (8) after Refurbishment </t>
  </si>
  <si>
    <t>24M-04</t>
  </si>
  <si>
    <t>Firepump Balance</t>
  </si>
  <si>
    <t>24M-05</t>
  </si>
  <si>
    <r>
      <t xml:space="preserve">Main Aluminum Gate (T-Bore Refusal to welded anymore) - or </t>
    </r>
    <r>
      <rPr>
        <sz val="9"/>
        <color indexed="30"/>
        <rFont val="Tahoma"/>
        <family val="2"/>
      </rPr>
      <t>one other contractor will reinforce for 2024 ($5,000)</t>
    </r>
  </si>
  <si>
    <t>24M-06</t>
  </si>
  <si>
    <t>Balance of New Hilux Truck</t>
  </si>
  <si>
    <t>24M-07</t>
  </si>
  <si>
    <t>Water Instrusions</t>
  </si>
  <si>
    <t>TOTAL MAJOR RESERVE FUND</t>
  </si>
  <si>
    <t>RESERVE FUNDS  2024</t>
  </si>
  <si>
    <t>OPENING BALANCE 2024:</t>
  </si>
  <si>
    <t>FUNDINGS AS OF JAN to DEC 2024</t>
  </si>
  <si>
    <t>FORECAST EXPENDITURES 2024</t>
  </si>
  <si>
    <t>ENDING BALANCE DEC 2024</t>
  </si>
  <si>
    <t>PROPRIETORS STRATA PLAN # 50 - Q1 January to March 2024</t>
  </si>
  <si>
    <t>ACTUAL 2024 - Q1</t>
  </si>
  <si>
    <t>BUDGET 2024 - Q1</t>
  </si>
  <si>
    <t>B 2024 vs Q1 2024</t>
  </si>
  <si>
    <t>Balance sheet as of Mar 31, 2024</t>
  </si>
  <si>
    <t>CAPITAL EXPENDITURES  - 2024 BUDGET</t>
  </si>
  <si>
    <t>Mar YTD 2024</t>
  </si>
  <si>
    <t>TOTAL 2024 CAPITAL RESERVE FUND</t>
  </si>
  <si>
    <t>MAJOR EXPENDITURES  - 2024</t>
  </si>
  <si>
    <t>TOTAL 2024 MAJOR RESERVE FUND</t>
  </si>
  <si>
    <t>2024 Reserves Page 2 of 3</t>
  </si>
  <si>
    <t>FUNDINGS AS OF JAN 24 - MAR 24</t>
  </si>
  <si>
    <t>EXPENDITURES JAN 24 - MAR 24</t>
  </si>
  <si>
    <t>FUNDINGS APR  to DEC 2024</t>
  </si>
  <si>
    <t>FORECAST EXPENDITURES APR to DEC 2024</t>
  </si>
  <si>
    <t>BALANCE ESTIMATED DECEMBER 2024</t>
  </si>
  <si>
    <t>Reserve fundings - 31 March 2024</t>
  </si>
  <si>
    <t>Owner Project advanced by Management Co.</t>
  </si>
  <si>
    <t>Variance analysis actual to budget</t>
  </si>
  <si>
    <t>Positive</t>
  </si>
  <si>
    <t xml:space="preserve">Negative </t>
  </si>
  <si>
    <t>variances</t>
  </si>
  <si>
    <t>INCOME</t>
  </si>
  <si>
    <t>to budget</t>
  </si>
  <si>
    <t>Maintenance Revenues</t>
  </si>
  <si>
    <t>Income from utilities</t>
  </si>
  <si>
    <t>Others</t>
  </si>
  <si>
    <t>Total Income</t>
  </si>
  <si>
    <t>EXPENSES</t>
  </si>
  <si>
    <t>Security payroll (internal &amp; external)</t>
  </si>
  <si>
    <t>Pool &amp; Beach supplies &amp; furniture</t>
  </si>
  <si>
    <t>Sewage Treatment Plant</t>
  </si>
  <si>
    <t>Grounds &amp; Landscaping supplies</t>
  </si>
  <si>
    <t>Maintenance &amp; Ground payroll</t>
  </si>
  <si>
    <t>Fire Protection</t>
  </si>
  <si>
    <t>Work permits</t>
  </si>
  <si>
    <t>Pool repairs</t>
  </si>
  <si>
    <t>Other expenses A&amp;G</t>
  </si>
  <si>
    <t>Other expenses P&amp;B</t>
  </si>
  <si>
    <t>Power</t>
  </si>
  <si>
    <t>Pool &amp; Beach laundry</t>
  </si>
  <si>
    <t>Other maintenance expenses</t>
  </si>
  <si>
    <t>Common area payroll</t>
  </si>
  <si>
    <t>Pool &amp; Beach payroll</t>
  </si>
  <si>
    <t>Total Expenses</t>
  </si>
  <si>
    <t>Total variance</t>
  </si>
  <si>
    <t>Strata Plans # 50 Income statement YTD 2023</t>
  </si>
  <si>
    <t>Uniform Grounds &amp; Maint</t>
  </si>
  <si>
    <t>Strata Plans # 50 Income statement YTD 2024</t>
  </si>
  <si>
    <t>ACTUAL 2023 - Q1</t>
  </si>
  <si>
    <t>D&amp;O insurance</t>
  </si>
  <si>
    <t>Maintenance payroll</t>
  </si>
  <si>
    <t>Landscaping payroll</t>
  </si>
  <si>
    <t>Maintenance &amp; Landscaping benefits</t>
  </si>
  <si>
    <t>Hurrican expenses</t>
  </si>
  <si>
    <t>Maintenance supplies &amp; expenses</t>
  </si>
  <si>
    <t>Pool &amp; Beach uniforms</t>
  </si>
  <si>
    <t>Common Area payroll &amp; expenses</t>
  </si>
  <si>
    <t>Gas/propane</t>
  </si>
  <si>
    <t>Pool chemicals</t>
  </si>
  <si>
    <t xml:space="preserve">                            higher expenses direclty </t>
  </si>
  <si>
    <t xml:space="preserve">                            related to higher revenues</t>
  </si>
  <si>
    <t>ENDING BALANCE MAR 2024</t>
  </si>
  <si>
    <t xml:space="preserve">Property Insurance </t>
  </si>
  <si>
    <t>Strata Business Interruption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</si>
</sst>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(&quot;$&quot;* #,##0_);_(&quot;$&quot;* \(#,##0\);_(&quot;$&quot;* &quot;-&quot;??_);_(@_)"/>
    <numFmt numFmtId="168" formatCode="_(* #,##0.00000_);_(* \(#,##0.00000\);_(* &quot;-&quot;_);_(@_)"/>
    <numFmt numFmtId="169" formatCode="_(&quot;$&quot;* #,##0.00_);_(&quot;$&quot;* \(#,##0.00\);_(&quot;$&quot;* &quot;-&quot;_);_(@_)"/>
    <numFmt numFmtId="170" formatCode="_(* #,##0.000000_);_(* \(#,##0.000000\);_(* &quot;-&quot;??????_);_(@_)"/>
    <numFmt numFmtId="171" formatCode="0.00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name val="Calibri"/>
      <family val="2"/>
      <scheme val="minor"/>
    </font>
    <font>
      <u/>
      <sz val="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i/>
      <sz val="10"/>
      <name val="Arial"/>
      <family val="2"/>
    </font>
    <font>
      <sz val="10"/>
      <name val="Times New Roman"/>
      <family val="1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Arial"/>
      <family val="2"/>
    </font>
    <font>
      <b/>
      <u/>
      <sz val="14"/>
      <name val="Calibri"/>
      <family val="2"/>
    </font>
    <font>
      <sz val="14"/>
      <name val="Calibri"/>
      <family val="2"/>
    </font>
    <font>
      <b/>
      <sz val="11"/>
      <name val="Calibri"/>
      <family val="2"/>
    </font>
    <font>
      <sz val="10"/>
      <name val="Arial"/>
    </font>
    <font>
      <b/>
      <i/>
      <sz val="10"/>
      <name val="Calibri"/>
      <family val="2"/>
      <scheme val="minor"/>
    </font>
    <font>
      <sz val="11"/>
      <name val="Tahoma"/>
      <family val="2"/>
    </font>
    <font>
      <b/>
      <sz val="11"/>
      <name val="Tahoma"/>
      <family val="2"/>
    </font>
    <font>
      <sz val="9"/>
      <color indexed="30"/>
      <name val="Tahoma"/>
      <family val="2"/>
    </font>
    <font>
      <i/>
      <sz val="10"/>
      <color theme="4" tint="-0.249977111117893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34" fillId="0" borderId="0"/>
    <xf numFmtId="43" fontId="12" fillId="0" borderId="0" applyFont="0" applyFill="0" applyBorder="0" applyAlignment="0" applyProtection="0"/>
    <xf numFmtId="0" fontId="12" fillId="0" borderId="0"/>
    <xf numFmtId="0" fontId="1" fillId="0" borderId="0"/>
    <xf numFmtId="43" fontId="1" fillId="0" borderId="0" applyFont="0" applyFill="0" applyBorder="0" applyAlignment="0" applyProtection="0"/>
  </cellStyleXfs>
  <cellXfs count="69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3" borderId="0" xfId="0" applyFont="1" applyFill="1"/>
    <xf numFmtId="0" fontId="3" fillId="3" borderId="0" xfId="0" applyFont="1" applyFill="1"/>
    <xf numFmtId="43" fontId="2" fillId="2" borderId="0" xfId="0" applyNumberFormat="1" applyFont="1" applyFill="1"/>
    <xf numFmtId="43" fontId="2" fillId="3" borderId="0" xfId="0" applyNumberFormat="1" applyFont="1" applyFill="1"/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3" fontId="3" fillId="2" borderId="0" xfId="0" applyNumberFormat="1" applyFont="1" applyFill="1" applyAlignment="1">
      <alignment horizontal="center"/>
    </xf>
    <xf numFmtId="43" fontId="3" fillId="3" borderId="0" xfId="0" applyNumberFormat="1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43" fontId="3" fillId="4" borderId="3" xfId="0" applyNumberFormat="1" applyFont="1" applyFill="1" applyBorder="1" applyAlignment="1">
      <alignment horizontal="center"/>
    </xf>
    <xf numFmtId="43" fontId="3" fillId="4" borderId="1" xfId="0" applyNumberFormat="1" applyFont="1" applyFill="1" applyBorder="1" applyAlignment="1">
      <alignment horizontal="center"/>
    </xf>
    <xf numFmtId="43" fontId="3" fillId="4" borderId="4" xfId="0" applyNumberFormat="1" applyFont="1" applyFill="1" applyBorder="1" applyAlignment="1">
      <alignment horizontal="center"/>
    </xf>
    <xf numFmtId="0" fontId="2" fillId="2" borderId="1" xfId="0" applyFont="1" applyFill="1" applyBorder="1"/>
    <xf numFmtId="165" fontId="2" fillId="2" borderId="6" xfId="1" applyNumberFormat="1" applyFont="1" applyFill="1" applyBorder="1"/>
    <xf numFmtId="165" fontId="2" fillId="3" borderId="0" xfId="1" applyNumberFormat="1" applyFont="1" applyFill="1" applyBorder="1"/>
    <xf numFmtId="165" fontId="2" fillId="2" borderId="3" xfId="1" applyNumberFormat="1" applyFont="1" applyFill="1" applyBorder="1"/>
    <xf numFmtId="166" fontId="4" fillId="2" borderId="5" xfId="2" applyNumberFormat="1" applyFont="1" applyFill="1" applyBorder="1"/>
    <xf numFmtId="165" fontId="2" fillId="2" borderId="0" xfId="1" applyNumberFormat="1" applyFont="1" applyFill="1" applyBorder="1"/>
    <xf numFmtId="0" fontId="3" fillId="2" borderId="7" xfId="0" applyFont="1" applyFill="1" applyBorder="1"/>
    <xf numFmtId="165" fontId="3" fillId="2" borderId="8" xfId="1" applyNumberFormat="1" applyFont="1" applyFill="1" applyBorder="1"/>
    <xf numFmtId="165" fontId="3" fillId="2" borderId="7" xfId="1" applyNumberFormat="1" applyFont="1" applyFill="1" applyBorder="1"/>
    <xf numFmtId="165" fontId="3" fillId="3" borderId="0" xfId="1" applyNumberFormat="1" applyFont="1" applyFill="1" applyBorder="1"/>
    <xf numFmtId="165" fontId="2" fillId="2" borderId="9" xfId="1" applyNumberFormat="1" applyFont="1" applyFill="1" applyBorder="1"/>
    <xf numFmtId="166" fontId="4" fillId="2" borderId="10" xfId="2" applyNumberFormat="1" applyFont="1" applyFill="1" applyBorder="1"/>
    <xf numFmtId="43" fontId="3" fillId="2" borderId="0" xfId="0" applyNumberFormat="1" applyFont="1" applyFill="1"/>
    <xf numFmtId="165" fontId="3" fillId="2" borderId="0" xfId="1" applyNumberFormat="1" applyFont="1" applyFill="1" applyBorder="1"/>
    <xf numFmtId="0" fontId="2" fillId="2" borderId="7" xfId="0" applyFont="1" applyFill="1" applyBorder="1"/>
    <xf numFmtId="165" fontId="2" fillId="2" borderId="7" xfId="1" applyNumberFormat="1" applyFont="1" applyFill="1" applyBorder="1"/>
    <xf numFmtId="165" fontId="2" fillId="2" borderId="11" xfId="1" applyNumberFormat="1" applyFont="1" applyFill="1" applyBorder="1"/>
    <xf numFmtId="0" fontId="2" fillId="2" borderId="12" xfId="0" applyFont="1" applyFill="1" applyBorder="1"/>
    <xf numFmtId="165" fontId="2" fillId="2" borderId="12" xfId="1" applyNumberFormat="1" applyFont="1" applyFill="1" applyBorder="1"/>
    <xf numFmtId="165" fontId="2" fillId="2" borderId="13" xfId="1" applyNumberFormat="1" applyFont="1" applyFill="1" applyBorder="1"/>
    <xf numFmtId="166" fontId="4" fillId="2" borderId="14" xfId="2" applyNumberFormat="1" applyFont="1" applyFill="1" applyBorder="1"/>
    <xf numFmtId="41" fontId="2" fillId="2" borderId="7" xfId="1" applyNumberFormat="1" applyFont="1" applyFill="1" applyBorder="1"/>
    <xf numFmtId="41" fontId="2" fillId="2" borderId="12" xfId="1" applyNumberFormat="1" applyFont="1" applyFill="1" applyBorder="1"/>
    <xf numFmtId="165" fontId="2" fillId="2" borderId="15" xfId="1" applyNumberFormat="1" applyFont="1" applyFill="1" applyBorder="1"/>
    <xf numFmtId="165" fontId="2" fillId="2" borderId="16" xfId="1" applyNumberFormat="1" applyFont="1" applyFill="1" applyBorder="1"/>
    <xf numFmtId="165" fontId="2" fillId="2" borderId="17" xfId="1" applyNumberFormat="1" applyFont="1" applyFill="1" applyBorder="1"/>
    <xf numFmtId="166" fontId="4" fillId="2" borderId="17" xfId="2" applyNumberFormat="1" applyFont="1" applyFill="1" applyBorder="1"/>
    <xf numFmtId="0" fontId="3" fillId="2" borderId="18" xfId="0" applyFont="1" applyFill="1" applyBorder="1"/>
    <xf numFmtId="165" fontId="3" fillId="2" borderId="18" xfId="1" applyNumberFormat="1" applyFont="1" applyFill="1" applyBorder="1"/>
    <xf numFmtId="165" fontId="3" fillId="2" borderId="13" xfId="1" applyNumberFormat="1" applyFont="1" applyFill="1" applyBorder="1"/>
    <xf numFmtId="9" fontId="5" fillId="2" borderId="14" xfId="2" applyFont="1" applyFill="1" applyBorder="1"/>
    <xf numFmtId="165" fontId="3" fillId="2" borderId="0" xfId="1" applyNumberFormat="1" applyFont="1" applyFill="1"/>
    <xf numFmtId="0" fontId="6" fillId="2" borderId="0" xfId="0" applyFont="1" applyFill="1"/>
    <xf numFmtId="0" fontId="6" fillId="3" borderId="0" xfId="0" applyFont="1" applyFill="1"/>
    <xf numFmtId="0" fontId="2" fillId="3" borderId="3" xfId="0" applyFont="1" applyFill="1" applyBorder="1"/>
    <xf numFmtId="0" fontId="2" fillId="3" borderId="19" xfId="0" applyFont="1" applyFill="1" applyBorder="1"/>
    <xf numFmtId="0" fontId="2" fillId="3" borderId="5" xfId="0" applyFont="1" applyFill="1" applyBorder="1"/>
    <xf numFmtId="41" fontId="3" fillId="3" borderId="1" xfId="0" applyNumberFormat="1" applyFont="1" applyFill="1" applyBorder="1"/>
    <xf numFmtId="165" fontId="5" fillId="2" borderId="0" xfId="1" applyNumberFormat="1" applyFont="1" applyFill="1" applyAlignment="1"/>
    <xf numFmtId="165" fontId="3" fillId="2" borderId="1" xfId="1" applyNumberFormat="1" applyFont="1" applyFill="1" applyBorder="1"/>
    <xf numFmtId="165" fontId="5" fillId="2" borderId="0" xfId="1" applyNumberFormat="1" applyFont="1" applyFill="1" applyAlignment="1">
      <alignment horizontal="left"/>
    </xf>
    <xf numFmtId="165" fontId="6" fillId="2" borderId="0" xfId="1" applyNumberFormat="1" applyFont="1" applyFill="1"/>
    <xf numFmtId="165" fontId="6" fillId="3" borderId="0" xfId="1" applyNumberFormat="1" applyFont="1" applyFill="1" applyBorder="1"/>
    <xf numFmtId="165" fontId="6" fillId="2" borderId="0" xfId="1" applyNumberFormat="1" applyFont="1" applyFill="1" applyBorder="1"/>
    <xf numFmtId="0" fontId="3" fillId="4" borderId="3" xfId="0" applyFont="1" applyFill="1" applyBorder="1"/>
    <xf numFmtId="0" fontId="3" fillId="3" borderId="9" xfId="0" applyFont="1" applyFill="1" applyBorder="1"/>
    <xf numFmtId="165" fontId="2" fillId="2" borderId="0" xfId="0" applyNumberFormat="1" applyFont="1" applyFill="1"/>
    <xf numFmtId="165" fontId="5" fillId="2" borderId="0" xfId="0" applyNumberFormat="1" applyFont="1" applyFill="1"/>
    <xf numFmtId="0" fontId="3" fillId="4" borderId="1" xfId="0" applyFont="1" applyFill="1" applyBorder="1"/>
    <xf numFmtId="43" fontId="3" fillId="4" borderId="19" xfId="0" applyNumberFormat="1" applyFont="1" applyFill="1" applyBorder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5" fontId="2" fillId="2" borderId="20" xfId="1" applyNumberFormat="1" applyFont="1" applyFill="1" applyBorder="1"/>
    <xf numFmtId="165" fontId="2" fillId="2" borderId="21" xfId="1" applyNumberFormat="1" applyFont="1" applyFill="1" applyBorder="1"/>
    <xf numFmtId="165" fontId="2" fillId="2" borderId="22" xfId="1" applyNumberFormat="1" applyFont="1" applyFill="1" applyBorder="1"/>
    <xf numFmtId="165" fontId="2" fillId="2" borderId="23" xfId="1" applyNumberFormat="1" applyFont="1" applyFill="1" applyBorder="1"/>
    <xf numFmtId="0" fontId="3" fillId="2" borderId="12" xfId="0" applyFont="1" applyFill="1" applyBorder="1"/>
    <xf numFmtId="165" fontId="3" fillId="2" borderId="3" xfId="1" applyNumberFormat="1" applyFont="1" applyFill="1" applyBorder="1"/>
    <xf numFmtId="165" fontId="3" fillId="2" borderId="24" xfId="1" applyNumberFormat="1" applyFont="1" applyFill="1" applyBorder="1"/>
    <xf numFmtId="166" fontId="5" fillId="2" borderId="5" xfId="2" applyNumberFormat="1" applyFont="1" applyFill="1" applyBorder="1"/>
    <xf numFmtId="165" fontId="3" fillId="3" borderId="25" xfId="1" applyNumberFormat="1" applyFont="1" applyFill="1" applyBorder="1"/>
    <xf numFmtId="43" fontId="6" fillId="2" borderId="0" xfId="1" applyFont="1" applyFill="1"/>
    <xf numFmtId="43" fontId="6" fillId="3" borderId="0" xfId="1" applyFont="1" applyFill="1" applyBorder="1"/>
    <xf numFmtId="43" fontId="3" fillId="2" borderId="26" xfId="0" applyNumberFormat="1" applyFont="1" applyFill="1" applyBorder="1" applyAlignment="1">
      <alignment horizontal="center"/>
    </xf>
    <xf numFmtId="0" fontId="2" fillId="2" borderId="8" xfId="0" applyFont="1" applyFill="1" applyBorder="1"/>
    <xf numFmtId="165" fontId="2" fillId="2" borderId="27" xfId="1" applyNumberFormat="1" applyFont="1" applyFill="1" applyBorder="1"/>
    <xf numFmtId="165" fontId="2" fillId="2" borderId="8" xfId="1" applyNumberFormat="1" applyFont="1" applyFill="1" applyBorder="1"/>
    <xf numFmtId="165" fontId="2" fillId="2" borderId="28" xfId="1" applyNumberFormat="1" applyFont="1" applyFill="1" applyBorder="1"/>
    <xf numFmtId="165" fontId="2" fillId="2" borderId="29" xfId="1" applyNumberFormat="1" applyFont="1" applyFill="1" applyBorder="1"/>
    <xf numFmtId="166" fontId="4" fillId="2" borderId="30" xfId="2" applyNumberFormat="1" applyFont="1" applyFill="1" applyBorder="1"/>
    <xf numFmtId="165" fontId="2" fillId="2" borderId="25" xfId="1" applyNumberFormat="1" applyFont="1" applyFill="1" applyBorder="1"/>
    <xf numFmtId="165" fontId="2" fillId="2" borderId="31" xfId="1" applyNumberFormat="1" applyFont="1" applyFill="1" applyBorder="1"/>
    <xf numFmtId="165" fontId="2" fillId="2" borderId="32" xfId="1" applyNumberFormat="1" applyFont="1" applyFill="1" applyBorder="1"/>
    <xf numFmtId="165" fontId="2" fillId="2" borderId="24" xfId="1" applyNumberFormat="1" applyFont="1" applyFill="1" applyBorder="1"/>
    <xf numFmtId="165" fontId="3" fillId="2" borderId="12" xfId="1" applyNumberFormat="1" applyFont="1" applyFill="1" applyBorder="1"/>
    <xf numFmtId="43" fontId="2" fillId="3" borderId="0" xfId="1" applyFont="1" applyFill="1" applyBorder="1"/>
    <xf numFmtId="165" fontId="2" fillId="0" borderId="7" xfId="1" applyNumberFormat="1" applyFont="1" applyFill="1" applyBorder="1"/>
    <xf numFmtId="165" fontId="3" fillId="2" borderId="33" xfId="1" applyNumberFormat="1" applyFont="1" applyFill="1" applyBorder="1"/>
    <xf numFmtId="43" fontId="3" fillId="3" borderId="0" xfId="1" applyFont="1" applyFill="1" applyBorder="1"/>
    <xf numFmtId="43" fontId="3" fillId="3" borderId="25" xfId="1" applyFont="1" applyFill="1" applyBorder="1"/>
    <xf numFmtId="165" fontId="3" fillId="2" borderId="26" xfId="0" applyNumberFormat="1" applyFont="1" applyFill="1" applyBorder="1" applyAlignment="1">
      <alignment horizontal="center"/>
    </xf>
    <xf numFmtId="0" fontId="3" fillId="2" borderId="1" xfId="0" applyFont="1" applyFill="1" applyBorder="1"/>
    <xf numFmtId="165" fontId="3" fillId="2" borderId="2" xfId="1" applyNumberFormat="1" applyFont="1" applyFill="1" applyBorder="1"/>
    <xf numFmtId="165" fontId="3" fillId="2" borderId="34" xfId="1" applyNumberFormat="1" applyFont="1" applyFill="1" applyBorder="1"/>
    <xf numFmtId="165" fontId="3" fillId="2" borderId="4" xfId="1" applyNumberFormat="1" applyFont="1" applyFill="1" applyBorder="1"/>
    <xf numFmtId="43" fontId="3" fillId="2" borderId="0" xfId="1" applyFont="1" applyFill="1" applyBorder="1"/>
    <xf numFmtId="43" fontId="3" fillId="3" borderId="0" xfId="0" applyNumberFormat="1" applyFont="1" applyFill="1"/>
    <xf numFmtId="17" fontId="3" fillId="3" borderId="0" xfId="0" applyNumberFormat="1" applyFont="1" applyFill="1"/>
    <xf numFmtId="43" fontId="6" fillId="2" borderId="0" xfId="1" applyFont="1" applyFill="1" applyBorder="1"/>
    <xf numFmtId="0" fontId="3" fillId="2" borderId="13" xfId="0" applyFont="1" applyFill="1" applyBorder="1"/>
    <xf numFmtId="43" fontId="3" fillId="3" borderId="9" xfId="1" applyFont="1" applyFill="1" applyBorder="1"/>
    <xf numFmtId="165" fontId="2" fillId="2" borderId="10" xfId="1" applyNumberFormat="1" applyFont="1" applyFill="1" applyBorder="1"/>
    <xf numFmtId="41" fontId="2" fillId="2" borderId="8" xfId="1" applyNumberFormat="1" applyFont="1" applyFill="1" applyBorder="1"/>
    <xf numFmtId="41" fontId="2" fillId="2" borderId="36" xfId="1" applyNumberFormat="1" applyFont="1" applyFill="1" applyBorder="1"/>
    <xf numFmtId="41" fontId="7" fillId="3" borderId="37" xfId="0" applyNumberFormat="1" applyFont="1" applyFill="1" applyBorder="1" applyAlignment="1">
      <alignment horizontal="center"/>
    </xf>
    <xf numFmtId="41" fontId="2" fillId="2" borderId="0" xfId="1" applyNumberFormat="1" applyFont="1" applyFill="1" applyBorder="1"/>
    <xf numFmtId="0" fontId="2" fillId="3" borderId="7" xfId="0" applyFont="1" applyFill="1" applyBorder="1"/>
    <xf numFmtId="41" fontId="2" fillId="3" borderId="7" xfId="0" applyNumberFormat="1" applyFont="1" applyFill="1" applyBorder="1" applyAlignment="1">
      <alignment horizontal="center"/>
    </xf>
    <xf numFmtId="41" fontId="2" fillId="3" borderId="0" xfId="0" applyNumberFormat="1" applyFont="1" applyFill="1" applyAlignment="1">
      <alignment horizontal="center"/>
    </xf>
    <xf numFmtId="43" fontId="2" fillId="3" borderId="0" xfId="0" applyNumberFormat="1" applyFont="1" applyFill="1" applyAlignment="1">
      <alignment horizontal="center"/>
    </xf>
    <xf numFmtId="165" fontId="8" fillId="3" borderId="0" xfId="1" applyNumberFormat="1" applyFont="1" applyFill="1" applyBorder="1"/>
    <xf numFmtId="41" fontId="2" fillId="2" borderId="7" xfId="0" applyNumberFormat="1" applyFont="1" applyFill="1" applyBorder="1"/>
    <xf numFmtId="41" fontId="2" fillId="2" borderId="0" xfId="0" applyNumberFormat="1" applyFont="1" applyFill="1"/>
    <xf numFmtId="41" fontId="7" fillId="3" borderId="38" xfId="0" applyNumberFormat="1" applyFont="1" applyFill="1" applyBorder="1" applyAlignment="1">
      <alignment horizontal="center"/>
    </xf>
    <xf numFmtId="41" fontId="2" fillId="2" borderId="26" xfId="1" applyNumberFormat="1" applyFont="1" applyFill="1" applyBorder="1"/>
    <xf numFmtId="165" fontId="3" fillId="2" borderId="0" xfId="0" applyNumberFormat="1" applyFont="1" applyFill="1" applyAlignment="1">
      <alignment horizontal="center"/>
    </xf>
    <xf numFmtId="165" fontId="3" fillId="3" borderId="9" xfId="1" applyNumberFormat="1" applyFont="1" applyFill="1" applyBorder="1"/>
    <xf numFmtId="0" fontId="2" fillId="2" borderId="39" xfId="0" applyFont="1" applyFill="1" applyBorder="1"/>
    <xf numFmtId="43" fontId="2" fillId="2" borderId="40" xfId="1" applyFont="1" applyFill="1" applyBorder="1"/>
    <xf numFmtId="43" fontId="2" fillId="2" borderId="39" xfId="1" applyFont="1" applyFill="1" applyBorder="1"/>
    <xf numFmtId="43" fontId="2" fillId="2" borderId="41" xfId="1" applyFont="1" applyFill="1" applyBorder="1"/>
    <xf numFmtId="43" fontId="2" fillId="2" borderId="42" xfId="1" applyFont="1" applyFill="1" applyBorder="1"/>
    <xf numFmtId="43" fontId="2" fillId="2" borderId="16" xfId="1" applyFont="1" applyFill="1" applyBorder="1"/>
    <xf numFmtId="43" fontId="2" fillId="2" borderId="0" xfId="1" applyFont="1" applyFill="1" applyBorder="1"/>
    <xf numFmtId="0" fontId="3" fillId="2" borderId="9" xfId="0" applyFont="1" applyFill="1" applyBorder="1"/>
    <xf numFmtId="43" fontId="2" fillId="2" borderId="31" xfId="1" applyFont="1" applyFill="1" applyBorder="1"/>
    <xf numFmtId="43" fontId="2" fillId="2" borderId="9" xfId="1" applyFont="1" applyFill="1" applyBorder="1"/>
    <xf numFmtId="43" fontId="2" fillId="2" borderId="7" xfId="1" applyFont="1" applyFill="1" applyBorder="1"/>
    <xf numFmtId="43" fontId="2" fillId="2" borderId="11" xfId="1" applyFont="1" applyFill="1" applyBorder="1"/>
    <xf numFmtId="0" fontId="2" fillId="2" borderId="9" xfId="0" applyFont="1" applyFill="1" applyBorder="1"/>
    <xf numFmtId="0" fontId="2" fillId="2" borderId="15" xfId="0" applyFont="1" applyFill="1" applyBorder="1"/>
    <xf numFmtId="43" fontId="2" fillId="2" borderId="43" xfId="1" applyFont="1" applyFill="1" applyBorder="1"/>
    <xf numFmtId="43" fontId="2" fillId="2" borderId="15" xfId="1" applyFont="1" applyFill="1" applyBorder="1"/>
    <xf numFmtId="43" fontId="2" fillId="2" borderId="44" xfId="1" applyFont="1" applyFill="1" applyBorder="1"/>
    <xf numFmtId="0" fontId="3" fillId="2" borderId="8" xfId="0" applyFont="1" applyFill="1" applyBorder="1"/>
    <xf numFmtId="165" fontId="3" fillId="2" borderId="45" xfId="1" applyNumberFormat="1" applyFont="1" applyFill="1" applyBorder="1"/>
    <xf numFmtId="165" fontId="3" fillId="2" borderId="46" xfId="1" applyNumberFormat="1" applyFont="1" applyFill="1" applyBorder="1"/>
    <xf numFmtId="165" fontId="3" fillId="2" borderId="47" xfId="1" applyNumberFormat="1" applyFont="1" applyFill="1" applyBorder="1"/>
    <xf numFmtId="165" fontId="2" fillId="2" borderId="46" xfId="1" applyNumberFormat="1" applyFont="1" applyFill="1" applyBorder="1"/>
    <xf numFmtId="166" fontId="4" fillId="2" borderId="48" xfId="2" applyNumberFormat="1" applyFont="1" applyFill="1" applyBorder="1"/>
    <xf numFmtId="41" fontId="11" fillId="2" borderId="0" xfId="0" applyNumberFormat="1" applyFont="1" applyFill="1"/>
    <xf numFmtId="165" fontId="2" fillId="2" borderId="14" xfId="1" applyNumberFormat="1" applyFont="1" applyFill="1" applyBorder="1"/>
    <xf numFmtId="43" fontId="3" fillId="5" borderId="2" xfId="0" applyNumberFormat="1" applyFont="1" applyFill="1" applyBorder="1" applyAlignment="1">
      <alignment horizontal="center"/>
    </xf>
    <xf numFmtId="165" fontId="2" fillId="5" borderId="25" xfId="1" applyNumberFormat="1" applyFont="1" applyFill="1" applyBorder="1"/>
    <xf numFmtId="165" fontId="2" fillId="5" borderId="43" xfId="1" applyNumberFormat="1" applyFont="1" applyFill="1" applyBorder="1"/>
    <xf numFmtId="165" fontId="2" fillId="5" borderId="12" xfId="1" applyNumberFormat="1" applyFont="1" applyFill="1" applyBorder="1"/>
    <xf numFmtId="165" fontId="2" fillId="5" borderId="44" xfId="1" applyNumberFormat="1" applyFont="1" applyFill="1" applyBorder="1"/>
    <xf numFmtId="165" fontId="3" fillId="5" borderId="25" xfId="1" applyNumberFormat="1" applyFont="1" applyFill="1" applyBorder="1"/>
    <xf numFmtId="165" fontId="3" fillId="5" borderId="32" xfId="1" applyNumberFormat="1" applyFont="1" applyFill="1" applyBorder="1"/>
    <xf numFmtId="43" fontId="2" fillId="5" borderId="0" xfId="0" applyNumberFormat="1" applyFont="1" applyFill="1"/>
    <xf numFmtId="165" fontId="2" fillId="5" borderId="33" xfId="1" applyNumberFormat="1" applyFont="1" applyFill="1" applyBorder="1"/>
    <xf numFmtId="165" fontId="3" fillId="5" borderId="1" xfId="1" applyNumberFormat="1" applyFont="1" applyFill="1" applyBorder="1"/>
    <xf numFmtId="165" fontId="3" fillId="5" borderId="4" xfId="1" applyNumberFormat="1" applyFont="1" applyFill="1" applyBorder="1"/>
    <xf numFmtId="165" fontId="2" fillId="5" borderId="2" xfId="1" applyNumberFormat="1" applyFont="1" applyFill="1" applyBorder="1"/>
    <xf numFmtId="165" fontId="3" fillId="5" borderId="2" xfId="1" applyNumberFormat="1" applyFont="1" applyFill="1" applyBorder="1"/>
    <xf numFmtId="165" fontId="3" fillId="5" borderId="24" xfId="1" applyNumberFormat="1" applyFont="1" applyFill="1" applyBorder="1"/>
    <xf numFmtId="41" fontId="2" fillId="3" borderId="35" xfId="0" applyNumberFormat="1" applyFont="1" applyFill="1" applyBorder="1" applyAlignment="1">
      <alignment horizontal="center"/>
    </xf>
    <xf numFmtId="41" fontId="2" fillId="3" borderId="37" xfId="0" applyNumberFormat="1" applyFont="1" applyFill="1" applyBorder="1" applyAlignment="1">
      <alignment horizontal="center"/>
    </xf>
    <xf numFmtId="43" fontId="2" fillId="5" borderId="31" xfId="1" applyFont="1" applyFill="1" applyBorder="1"/>
    <xf numFmtId="165" fontId="3" fillId="5" borderId="33" xfId="1" applyNumberFormat="1" applyFont="1" applyFill="1" applyBorder="1"/>
    <xf numFmtId="43" fontId="3" fillId="6" borderId="2" xfId="0" applyNumberFormat="1" applyFont="1" applyFill="1" applyBorder="1" applyAlignment="1">
      <alignment horizontal="center"/>
    </xf>
    <xf numFmtId="165" fontId="2" fillId="6" borderId="6" xfId="1" applyNumberFormat="1" applyFont="1" applyFill="1" applyBorder="1"/>
    <xf numFmtId="165" fontId="3" fillId="6" borderId="8" xfId="1" applyNumberFormat="1" applyFont="1" applyFill="1" applyBorder="1"/>
    <xf numFmtId="165" fontId="2" fillId="6" borderId="7" xfId="1" applyNumberFormat="1" applyFont="1" applyFill="1" applyBorder="1"/>
    <xf numFmtId="165" fontId="2" fillId="6" borderId="14" xfId="1" applyNumberFormat="1" applyFont="1" applyFill="1" applyBorder="1"/>
    <xf numFmtId="165" fontId="3" fillId="6" borderId="7" xfId="1" applyNumberFormat="1" applyFont="1" applyFill="1" applyBorder="1"/>
    <xf numFmtId="165" fontId="2" fillId="6" borderId="12" xfId="1" applyNumberFormat="1" applyFont="1" applyFill="1" applyBorder="1"/>
    <xf numFmtId="41" fontId="2" fillId="6" borderId="7" xfId="1" applyNumberFormat="1" applyFont="1" applyFill="1" applyBorder="1"/>
    <xf numFmtId="41" fontId="2" fillId="6" borderId="12" xfId="1" applyNumberFormat="1" applyFont="1" applyFill="1" applyBorder="1"/>
    <xf numFmtId="165" fontId="2" fillId="6" borderId="15" xfId="1" applyNumberFormat="1" applyFont="1" applyFill="1" applyBorder="1"/>
    <xf numFmtId="165" fontId="3" fillId="6" borderId="18" xfId="1" applyNumberFormat="1" applyFont="1" applyFill="1" applyBorder="1"/>
    <xf numFmtId="43" fontId="3" fillId="6" borderId="19" xfId="0" applyNumberFormat="1" applyFont="1" applyFill="1" applyBorder="1" applyAlignment="1">
      <alignment horizontal="center"/>
    </xf>
    <xf numFmtId="165" fontId="2" fillId="6" borderId="20" xfId="1" applyNumberFormat="1" applyFont="1" applyFill="1" applyBorder="1"/>
    <xf numFmtId="165" fontId="3" fillId="6" borderId="3" xfId="1" applyNumberFormat="1" applyFont="1" applyFill="1" applyBorder="1"/>
    <xf numFmtId="165" fontId="2" fillId="6" borderId="32" xfId="1" applyNumberFormat="1" applyFont="1" applyFill="1" applyBorder="1"/>
    <xf numFmtId="165" fontId="3" fillId="6" borderId="12" xfId="1" applyNumberFormat="1" applyFont="1" applyFill="1" applyBorder="1"/>
    <xf numFmtId="165" fontId="2" fillId="6" borderId="8" xfId="1" applyNumberFormat="1" applyFont="1" applyFill="1" applyBorder="1"/>
    <xf numFmtId="165" fontId="3" fillId="6" borderId="33" xfId="1" applyNumberFormat="1" applyFont="1" applyFill="1" applyBorder="1"/>
    <xf numFmtId="165" fontId="3" fillId="6" borderId="2" xfId="1" applyNumberFormat="1" applyFont="1" applyFill="1" applyBorder="1"/>
    <xf numFmtId="165" fontId="2" fillId="6" borderId="25" xfId="1" applyNumberFormat="1" applyFont="1" applyFill="1" applyBorder="1"/>
    <xf numFmtId="43" fontId="3" fillId="6" borderId="1" xfId="0" applyNumberFormat="1" applyFont="1" applyFill="1" applyBorder="1" applyAlignment="1">
      <alignment horizontal="center"/>
    </xf>
    <xf numFmtId="165" fontId="2" fillId="6" borderId="27" xfId="1" applyNumberFormat="1" applyFont="1" applyFill="1" applyBorder="1"/>
    <xf numFmtId="43" fontId="2" fillId="6" borderId="40" xfId="1" applyFont="1" applyFill="1" applyBorder="1"/>
    <xf numFmtId="43" fontId="2" fillId="6" borderId="31" xfId="1" applyFont="1" applyFill="1" applyBorder="1"/>
    <xf numFmtId="43" fontId="2" fillId="6" borderId="43" xfId="1" applyFont="1" applyFill="1" applyBorder="1"/>
    <xf numFmtId="165" fontId="3" fillId="6" borderId="45" xfId="1" applyNumberFormat="1" applyFont="1" applyFill="1" applyBorder="1"/>
    <xf numFmtId="43" fontId="3" fillId="4" borderId="50" xfId="0" applyNumberFormat="1" applyFont="1" applyFill="1" applyBorder="1" applyAlignment="1">
      <alignment horizontal="center"/>
    </xf>
    <xf numFmtId="43" fontId="3" fillId="4" borderId="51" xfId="0" applyNumberFormat="1" applyFont="1" applyFill="1" applyBorder="1" applyAlignment="1">
      <alignment horizontal="center"/>
    </xf>
    <xf numFmtId="43" fontId="3" fillId="4" borderId="52" xfId="0" applyNumberFormat="1" applyFont="1" applyFill="1" applyBorder="1" applyAlignment="1">
      <alignment horizontal="center"/>
    </xf>
    <xf numFmtId="165" fontId="2" fillId="2" borderId="54" xfId="1" applyNumberFormat="1" applyFont="1" applyFill="1" applyBorder="1"/>
    <xf numFmtId="165" fontId="2" fillId="2" borderId="55" xfId="1" applyNumberFormat="1" applyFont="1" applyFill="1" applyBorder="1"/>
    <xf numFmtId="165" fontId="3" fillId="2" borderId="53" xfId="1" applyNumberFormat="1" applyFont="1" applyFill="1" applyBorder="1"/>
    <xf numFmtId="165" fontId="3" fillId="2" borderId="54" xfId="1" applyNumberFormat="1" applyFont="1" applyFill="1" applyBorder="1"/>
    <xf numFmtId="165" fontId="2" fillId="2" borderId="56" xfId="1" applyNumberFormat="1" applyFont="1" applyFill="1" applyBorder="1"/>
    <xf numFmtId="165" fontId="2" fillId="2" borderId="57" xfId="1" applyNumberFormat="1" applyFont="1" applyFill="1" applyBorder="1"/>
    <xf numFmtId="165" fontId="3" fillId="2" borderId="58" xfId="1" applyNumberFormat="1" applyFont="1" applyFill="1" applyBorder="1"/>
    <xf numFmtId="165" fontId="3" fillId="2" borderId="59" xfId="1" applyNumberFormat="1" applyFont="1" applyFill="1" applyBorder="1"/>
    <xf numFmtId="0" fontId="2" fillId="2" borderId="60" xfId="0" applyFont="1" applyFill="1" applyBorder="1"/>
    <xf numFmtId="0" fontId="3" fillId="2" borderId="37" xfId="0" applyFont="1" applyFill="1" applyBorder="1"/>
    <xf numFmtId="0" fontId="2" fillId="2" borderId="37" xfId="0" applyFont="1" applyFill="1" applyBorder="1"/>
    <xf numFmtId="0" fontId="2" fillId="2" borderId="38" xfId="0" applyFont="1" applyFill="1" applyBorder="1"/>
    <xf numFmtId="0" fontId="3" fillId="2" borderId="61" xfId="0" applyFont="1" applyFill="1" applyBorder="1"/>
    <xf numFmtId="0" fontId="3" fillId="4" borderId="49" xfId="0" applyFont="1" applyFill="1" applyBorder="1" applyAlignment="1">
      <alignment horizontal="center"/>
    </xf>
    <xf numFmtId="0" fontId="3" fillId="4" borderId="49" xfId="0" applyFont="1" applyFill="1" applyBorder="1"/>
    <xf numFmtId="0" fontId="3" fillId="4" borderId="60" xfId="0" applyFont="1" applyFill="1" applyBorder="1"/>
    <xf numFmtId="0" fontId="3" fillId="2" borderId="64" xfId="0" applyFont="1" applyFill="1" applyBorder="1"/>
    <xf numFmtId="0" fontId="2" fillId="2" borderId="67" xfId="0" applyFont="1" applyFill="1" applyBorder="1"/>
    <xf numFmtId="165" fontId="2" fillId="2" borderId="68" xfId="1" applyNumberFormat="1" applyFont="1" applyFill="1" applyBorder="1"/>
    <xf numFmtId="165" fontId="2" fillId="2" borderId="69" xfId="1" applyNumberFormat="1" applyFont="1" applyFill="1" applyBorder="1"/>
    <xf numFmtId="165" fontId="2" fillId="2" borderId="65" xfId="1" applyNumberFormat="1" applyFont="1" applyFill="1" applyBorder="1"/>
    <xf numFmtId="165" fontId="3" fillId="2" borderId="70" xfId="1" applyNumberFormat="1" applyFont="1" applyFill="1" applyBorder="1"/>
    <xf numFmtId="165" fontId="3" fillId="2" borderId="71" xfId="1" applyNumberFormat="1" applyFont="1" applyFill="1" applyBorder="1"/>
    <xf numFmtId="165" fontId="3" fillId="2" borderId="50" xfId="1" applyNumberFormat="1" applyFont="1" applyFill="1" applyBorder="1"/>
    <xf numFmtId="165" fontId="3" fillId="2" borderId="51" xfId="1" applyNumberFormat="1" applyFont="1" applyFill="1" applyBorder="1"/>
    <xf numFmtId="165" fontId="3" fillId="2" borderId="52" xfId="1" applyNumberFormat="1" applyFont="1" applyFill="1" applyBorder="1"/>
    <xf numFmtId="0" fontId="3" fillId="2" borderId="49" xfId="0" applyFont="1" applyFill="1" applyBorder="1"/>
    <xf numFmtId="0" fontId="2" fillId="2" borderId="35" xfId="0" applyFont="1" applyFill="1" applyBorder="1"/>
    <xf numFmtId="0" fontId="2" fillId="3" borderId="37" xfId="0" applyFont="1" applyFill="1" applyBorder="1"/>
    <xf numFmtId="165" fontId="3" fillId="2" borderId="66" xfId="1" applyNumberFormat="1" applyFont="1" applyFill="1" applyBorder="1"/>
    <xf numFmtId="43" fontId="3" fillId="4" borderId="73" xfId="0" applyNumberFormat="1" applyFont="1" applyFill="1" applyBorder="1" applyAlignment="1">
      <alignment horizontal="center"/>
    </xf>
    <xf numFmtId="0" fontId="2" fillId="2" borderId="74" xfId="0" applyFont="1" applyFill="1" applyBorder="1"/>
    <xf numFmtId="0" fontId="2" fillId="2" borderId="75" xfId="0" applyFont="1" applyFill="1" applyBorder="1"/>
    <xf numFmtId="0" fontId="3" fillId="2" borderId="35" xfId="0" applyFont="1" applyFill="1" applyBorder="1"/>
    <xf numFmtId="165" fontId="3" fillId="2" borderId="77" xfId="1" applyNumberFormat="1" applyFont="1" applyFill="1" applyBorder="1"/>
    <xf numFmtId="165" fontId="2" fillId="2" borderId="78" xfId="1" applyNumberFormat="1" applyFont="1" applyFill="1" applyBorder="1"/>
    <xf numFmtId="165" fontId="2" fillId="2" borderId="79" xfId="1" applyNumberFormat="1" applyFont="1" applyFill="1" applyBorder="1"/>
    <xf numFmtId="9" fontId="3" fillId="2" borderId="0" xfId="2" applyFont="1" applyFill="1"/>
    <xf numFmtId="9" fontId="6" fillId="2" borderId="0" xfId="2" applyFont="1" applyFill="1"/>
    <xf numFmtId="9" fontId="3" fillId="2" borderId="0" xfId="2" applyFont="1" applyFill="1" applyBorder="1"/>
    <xf numFmtId="0" fontId="0" fillId="3" borderId="0" xfId="0" applyFill="1"/>
    <xf numFmtId="43" fontId="3" fillId="5" borderId="50" xfId="0" applyNumberFormat="1" applyFont="1" applyFill="1" applyBorder="1" applyAlignment="1">
      <alignment horizontal="center"/>
    </xf>
    <xf numFmtId="165" fontId="2" fillId="5" borderId="80" xfId="1" applyNumberFormat="1" applyFont="1" applyFill="1" applyBorder="1"/>
    <xf numFmtId="165" fontId="2" fillId="5" borderId="76" xfId="1" applyNumberFormat="1" applyFont="1" applyFill="1" applyBorder="1"/>
    <xf numFmtId="9" fontId="3" fillId="5" borderId="76" xfId="2" applyFont="1" applyFill="1" applyBorder="1"/>
    <xf numFmtId="165" fontId="3" fillId="5" borderId="76" xfId="1" applyNumberFormat="1" applyFont="1" applyFill="1" applyBorder="1"/>
    <xf numFmtId="9" fontId="2" fillId="5" borderId="76" xfId="2" applyFont="1" applyFill="1" applyBorder="1"/>
    <xf numFmtId="165" fontId="3" fillId="5" borderId="72" xfId="1" applyNumberFormat="1" applyFont="1" applyFill="1" applyBorder="1"/>
    <xf numFmtId="165" fontId="2" fillId="5" borderId="72" xfId="1" applyNumberFormat="1" applyFont="1" applyFill="1" applyBorder="1"/>
    <xf numFmtId="165" fontId="2" fillId="5" borderId="50" xfId="1" applyNumberFormat="1" applyFont="1" applyFill="1" applyBorder="1"/>
    <xf numFmtId="165" fontId="3" fillId="5" borderId="50" xfId="1" applyNumberFormat="1" applyFont="1" applyFill="1" applyBorder="1"/>
    <xf numFmtId="43" fontId="2" fillId="5" borderId="76" xfId="1" applyFont="1" applyFill="1" applyBorder="1"/>
    <xf numFmtId="165" fontId="2" fillId="5" borderId="81" xfId="1" applyNumberFormat="1" applyFont="1" applyFill="1" applyBorder="1"/>
    <xf numFmtId="43" fontId="2" fillId="5" borderId="81" xfId="1" applyFont="1" applyFill="1" applyBorder="1"/>
    <xf numFmtId="165" fontId="2" fillId="5" borderId="62" xfId="1" applyNumberFormat="1" applyFont="1" applyFill="1" applyBorder="1"/>
    <xf numFmtId="0" fontId="13" fillId="2" borderId="0" xfId="0" applyFont="1" applyFill="1" applyAlignment="1">
      <alignment horizontal="right"/>
    </xf>
    <xf numFmtId="0" fontId="14" fillId="2" borderId="0" xfId="0" applyFont="1" applyFill="1"/>
    <xf numFmtId="0" fontId="13" fillId="2" borderId="0" xfId="0" applyFont="1" applyFill="1"/>
    <xf numFmtId="7" fontId="13" fillId="2" borderId="0" xfId="0" applyNumberFormat="1" applyFont="1" applyFill="1"/>
    <xf numFmtId="5" fontId="15" fillId="7" borderId="8" xfId="0" applyNumberFormat="1" applyFont="1" applyFill="1" applyBorder="1" applyAlignment="1">
      <alignment horizontal="center"/>
    </xf>
    <xf numFmtId="5" fontId="15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14" fillId="7" borderId="12" xfId="0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right"/>
    </xf>
    <xf numFmtId="49" fontId="14" fillId="7" borderId="12" xfId="0" quotePrefix="1" applyNumberFormat="1" applyFont="1" applyFill="1" applyBorder="1" applyAlignment="1">
      <alignment horizontal="center"/>
    </xf>
    <xf numFmtId="49" fontId="14" fillId="7" borderId="12" xfId="0" applyNumberFormat="1" applyFont="1" applyFill="1" applyBorder="1" applyAlignment="1">
      <alignment horizontal="center"/>
    </xf>
    <xf numFmtId="0" fontId="13" fillId="2" borderId="1" xfId="0" applyFont="1" applyFill="1" applyBorder="1"/>
    <xf numFmtId="42" fontId="13" fillId="2" borderId="1" xfId="0" applyNumberFormat="1" applyFont="1" applyFill="1" applyBorder="1"/>
    <xf numFmtId="41" fontId="13" fillId="2" borderId="0" xfId="0" applyNumberFormat="1" applyFont="1" applyFill="1"/>
    <xf numFmtId="42" fontId="13" fillId="0" borderId="1" xfId="0" applyNumberFormat="1" applyFont="1" applyBorder="1"/>
    <xf numFmtId="0" fontId="13" fillId="0" borderId="0" xfId="0" applyFont="1"/>
    <xf numFmtId="17" fontId="13" fillId="0" borderId="1" xfId="0" applyNumberFormat="1" applyFont="1" applyBorder="1" applyAlignment="1">
      <alignment horizontal="left"/>
    </xf>
    <xf numFmtId="0" fontId="13" fillId="0" borderId="1" xfId="0" applyFont="1" applyBorder="1"/>
    <xf numFmtId="0" fontId="13" fillId="0" borderId="0" xfId="0" applyFont="1" applyAlignment="1">
      <alignment horizontal="right"/>
    </xf>
    <xf numFmtId="41" fontId="13" fillId="0" borderId="0" xfId="0" applyNumberFormat="1" applyFont="1"/>
    <xf numFmtId="0" fontId="12" fillId="2" borderId="1" xfId="0" applyFont="1" applyFill="1" applyBorder="1"/>
    <xf numFmtId="42" fontId="12" fillId="0" borderId="1" xfId="0" applyNumberFormat="1" applyFont="1" applyBorder="1" applyAlignment="1">
      <alignment horizontal="right"/>
    </xf>
    <xf numFmtId="41" fontId="12" fillId="0" borderId="0" xfId="0" applyNumberFormat="1" applyFont="1" applyAlignment="1">
      <alignment horizontal="right"/>
    </xf>
    <xf numFmtId="0" fontId="13" fillId="0" borderId="1" xfId="0" applyFont="1" applyBorder="1" applyAlignment="1">
      <alignment wrapText="1"/>
    </xf>
    <xf numFmtId="0" fontId="12" fillId="0" borderId="1" xfId="0" applyFont="1" applyBorder="1"/>
    <xf numFmtId="42" fontId="12" fillId="0" borderId="1" xfId="0" applyNumberFormat="1" applyFont="1" applyBorder="1"/>
    <xf numFmtId="0" fontId="15" fillId="2" borderId="0" xfId="0" applyFont="1" applyFill="1" applyAlignment="1">
      <alignment horizontal="right"/>
    </xf>
    <xf numFmtId="0" fontId="15" fillId="2" borderId="1" xfId="0" applyFont="1" applyFill="1" applyBorder="1"/>
    <xf numFmtId="0" fontId="15" fillId="2" borderId="0" xfId="0" applyFont="1" applyFill="1"/>
    <xf numFmtId="42" fontId="15" fillId="2" borderId="1" xfId="0" applyNumberFormat="1" applyFont="1" applyFill="1" applyBorder="1"/>
    <xf numFmtId="167" fontId="13" fillId="2" borderId="0" xfId="0" applyNumberFormat="1" applyFont="1" applyFill="1"/>
    <xf numFmtId="167" fontId="16" fillId="2" borderId="0" xfId="0" applyNumberFormat="1" applyFont="1" applyFill="1"/>
    <xf numFmtId="0" fontId="17" fillId="2" borderId="0" xfId="0" applyFont="1" applyFill="1" applyAlignment="1">
      <alignment horizontal="right"/>
    </xf>
    <xf numFmtId="0" fontId="20" fillId="2" borderId="0" xfId="0" applyFont="1" applyFill="1"/>
    <xf numFmtId="0" fontId="13" fillId="3" borderId="0" xfId="0" applyFont="1" applyFill="1"/>
    <xf numFmtId="49" fontId="15" fillId="7" borderId="8" xfId="0" applyNumberFormat="1" applyFont="1" applyFill="1" applyBorder="1" applyAlignment="1">
      <alignment horizontal="center"/>
    </xf>
    <xf numFmtId="49" fontId="15" fillId="3" borderId="7" xfId="0" applyNumberFormat="1" applyFont="1" applyFill="1" applyBorder="1" applyAlignment="1">
      <alignment horizontal="center"/>
    </xf>
    <xf numFmtId="0" fontId="14" fillId="7" borderId="1" xfId="0" applyFont="1" applyFill="1" applyBorder="1" applyAlignment="1">
      <alignment vertical="center"/>
    </xf>
    <xf numFmtId="0" fontId="15" fillId="7" borderId="12" xfId="0" applyFont="1" applyFill="1" applyBorder="1" applyAlignment="1">
      <alignment horizontal="center"/>
    </xf>
    <xf numFmtId="17" fontId="15" fillId="7" borderId="12" xfId="0" quotePrefix="1" applyNumberFormat="1" applyFont="1" applyFill="1" applyBorder="1" applyAlignment="1">
      <alignment horizontal="center"/>
    </xf>
    <xf numFmtId="49" fontId="15" fillId="7" borderId="12" xfId="0" applyNumberFormat="1" applyFont="1" applyFill="1" applyBorder="1" applyAlignment="1">
      <alignment horizontal="center"/>
    </xf>
    <xf numFmtId="42" fontId="13" fillId="3" borderId="7" xfId="0" applyNumberFormat="1" applyFont="1" applyFill="1" applyBorder="1"/>
    <xf numFmtId="17" fontId="13" fillId="2" borderId="1" xfId="0" applyNumberFormat="1" applyFont="1" applyFill="1" applyBorder="1"/>
    <xf numFmtId="0" fontId="13" fillId="2" borderId="7" xfId="0" applyFont="1" applyFill="1" applyBorder="1"/>
    <xf numFmtId="17" fontId="13" fillId="2" borderId="1" xfId="0" applyNumberFormat="1" applyFont="1" applyFill="1" applyBorder="1" applyAlignment="1">
      <alignment horizontal="left"/>
    </xf>
    <xf numFmtId="0" fontId="13" fillId="0" borderId="9" xfId="0" applyFont="1" applyBorder="1"/>
    <xf numFmtId="0" fontId="15" fillId="3" borderId="0" xfId="0" applyFont="1" applyFill="1"/>
    <xf numFmtId="42" fontId="15" fillId="3" borderId="0" xfId="0" applyNumberFormat="1" applyFont="1" applyFill="1"/>
    <xf numFmtId="0" fontId="17" fillId="2" borderId="0" xfId="0" applyFont="1" applyFill="1"/>
    <xf numFmtId="42" fontId="13" fillId="2" borderId="0" xfId="0" applyNumberFormat="1" applyFont="1" applyFill="1"/>
    <xf numFmtId="0" fontId="14" fillId="8" borderId="0" xfId="0" applyFont="1" applyFill="1"/>
    <xf numFmtId="0" fontId="14" fillId="8" borderId="0" xfId="0" applyFont="1" applyFill="1" applyAlignment="1">
      <alignment horizontal="center"/>
    </xf>
    <xf numFmtId="167" fontId="14" fillId="2" borderId="0" xfId="0" applyNumberFormat="1" applyFont="1" applyFill="1"/>
    <xf numFmtId="43" fontId="21" fillId="2" borderId="0" xfId="0" applyNumberFormat="1" applyFont="1" applyFill="1"/>
    <xf numFmtId="0" fontId="12" fillId="2" borderId="0" xfId="0" applyFont="1" applyFill="1"/>
    <xf numFmtId="5" fontId="13" fillId="2" borderId="0" xfId="0" applyNumberFormat="1" applyFont="1" applyFill="1"/>
    <xf numFmtId="0" fontId="14" fillId="2" borderId="84" xfId="0" applyFont="1" applyFill="1" applyBorder="1"/>
    <xf numFmtId="167" fontId="14" fillId="2" borderId="84" xfId="0" applyNumberFormat="1" applyFont="1" applyFill="1" applyBorder="1"/>
    <xf numFmtId="164" fontId="13" fillId="2" borderId="0" xfId="0" applyNumberFormat="1" applyFont="1" applyFill="1"/>
    <xf numFmtId="0" fontId="22" fillId="2" borderId="0" xfId="0" applyFont="1" applyFill="1" applyAlignment="1">
      <alignment horizontal="right"/>
    </xf>
    <xf numFmtId="165" fontId="2" fillId="2" borderId="60" xfId="1" applyNumberFormat="1" applyFont="1" applyFill="1" applyBorder="1"/>
    <xf numFmtId="165" fontId="3" fillId="2" borderId="35" xfId="1" applyNumberFormat="1" applyFont="1" applyFill="1" applyBorder="1"/>
    <xf numFmtId="165" fontId="2" fillId="2" borderId="37" xfId="1" applyNumberFormat="1" applyFont="1" applyFill="1" applyBorder="1"/>
    <xf numFmtId="165" fontId="2" fillId="2" borderId="64" xfId="1" applyNumberFormat="1" applyFont="1" applyFill="1" applyBorder="1"/>
    <xf numFmtId="165" fontId="3" fillId="2" borderId="67" xfId="1" applyNumberFormat="1" applyFont="1" applyFill="1" applyBorder="1"/>
    <xf numFmtId="165" fontId="2" fillId="2" borderId="38" xfId="1" applyNumberFormat="1" applyFont="1" applyFill="1" applyBorder="1"/>
    <xf numFmtId="41" fontId="2" fillId="2" borderId="37" xfId="1" applyNumberFormat="1" applyFont="1" applyFill="1" applyBorder="1"/>
    <xf numFmtId="41" fontId="2" fillId="2" borderId="64" xfId="1" applyNumberFormat="1" applyFont="1" applyFill="1" applyBorder="1"/>
    <xf numFmtId="165" fontId="2" fillId="2" borderId="67" xfId="1" applyNumberFormat="1" applyFont="1" applyFill="1" applyBorder="1"/>
    <xf numFmtId="165" fontId="2" fillId="2" borderId="85" xfId="1" applyNumberFormat="1" applyFont="1" applyFill="1" applyBorder="1"/>
    <xf numFmtId="165" fontId="3" fillId="2" borderId="64" xfId="1" applyNumberFormat="1" applyFont="1" applyFill="1" applyBorder="1"/>
    <xf numFmtId="165" fontId="2" fillId="0" borderId="69" xfId="1" applyNumberFormat="1" applyFont="1" applyFill="1" applyBorder="1"/>
    <xf numFmtId="165" fontId="2" fillId="0" borderId="37" xfId="1" applyNumberFormat="1" applyFont="1" applyFill="1" applyBorder="1"/>
    <xf numFmtId="41" fontId="2" fillId="3" borderId="68" xfId="0" applyNumberFormat="1" applyFont="1" applyFill="1" applyBorder="1" applyAlignment="1">
      <alignment horizontal="center"/>
    </xf>
    <xf numFmtId="41" fontId="2" fillId="3" borderId="69" xfId="0" applyNumberFormat="1" applyFont="1" applyFill="1" applyBorder="1" applyAlignment="1">
      <alignment horizontal="center"/>
    </xf>
    <xf numFmtId="41" fontId="7" fillId="3" borderId="69" xfId="0" applyNumberFormat="1" applyFont="1" applyFill="1" applyBorder="1" applyAlignment="1">
      <alignment horizontal="center"/>
    </xf>
    <xf numFmtId="41" fontId="7" fillId="3" borderId="65" xfId="0" applyNumberFormat="1" applyFont="1" applyFill="1" applyBorder="1" applyAlignment="1">
      <alignment horizontal="center"/>
    </xf>
    <xf numFmtId="41" fontId="2" fillId="2" borderId="67" xfId="1" applyNumberFormat="1" applyFont="1" applyFill="1" applyBorder="1"/>
    <xf numFmtId="41" fontId="2" fillId="2" borderId="37" xfId="0" applyNumberFormat="1" applyFont="1" applyFill="1" applyBorder="1"/>
    <xf numFmtId="41" fontId="2" fillId="2" borderId="38" xfId="1" applyNumberFormat="1" applyFont="1" applyFill="1" applyBorder="1"/>
    <xf numFmtId="165" fontId="2" fillId="2" borderId="66" xfId="1" applyNumberFormat="1" applyFont="1" applyFill="1" applyBorder="1"/>
    <xf numFmtId="165" fontId="3" fillId="2" borderId="86" xfId="1" applyNumberFormat="1" applyFont="1" applyFill="1" applyBorder="1"/>
    <xf numFmtId="41" fontId="2" fillId="2" borderId="85" xfId="1" applyNumberFormat="1" applyFont="1" applyFill="1" applyBorder="1"/>
    <xf numFmtId="41" fontId="2" fillId="2" borderId="78" xfId="1" applyNumberFormat="1" applyFont="1" applyFill="1" applyBorder="1"/>
    <xf numFmtId="41" fontId="2" fillId="2" borderId="79" xfId="1" applyNumberFormat="1" applyFont="1" applyFill="1" applyBorder="1"/>
    <xf numFmtId="43" fontId="2" fillId="2" borderId="87" xfId="1" applyFont="1" applyFill="1" applyBorder="1"/>
    <xf numFmtId="43" fontId="2" fillId="2" borderId="69" xfId="1" applyFont="1" applyFill="1" applyBorder="1"/>
    <xf numFmtId="43" fontId="2" fillId="2" borderId="56" xfId="1" applyFont="1" applyFill="1" applyBorder="1"/>
    <xf numFmtId="43" fontId="2" fillId="2" borderId="88" xfId="1" applyFont="1" applyFill="1" applyBorder="1"/>
    <xf numFmtId="43" fontId="2" fillId="2" borderId="78" xfId="1" applyFont="1" applyFill="1" applyBorder="1"/>
    <xf numFmtId="43" fontId="2" fillId="2" borderId="89" xfId="1" applyFont="1" applyFill="1" applyBorder="1"/>
    <xf numFmtId="43" fontId="2" fillId="2" borderId="74" xfId="1" applyFont="1" applyFill="1" applyBorder="1"/>
    <xf numFmtId="43" fontId="2" fillId="2" borderId="37" xfId="1" applyFont="1" applyFill="1" applyBorder="1"/>
    <xf numFmtId="43" fontId="2" fillId="2" borderId="75" xfId="1" applyFont="1" applyFill="1" applyBorder="1"/>
    <xf numFmtId="165" fontId="3" fillId="2" borderId="61" xfId="1" applyNumberFormat="1" applyFont="1" applyFill="1" applyBorder="1"/>
    <xf numFmtId="165" fontId="6" fillId="2" borderId="0" xfId="2" applyNumberFormat="1" applyFont="1" applyFill="1"/>
    <xf numFmtId="0" fontId="12" fillId="0" borderId="1" xfId="0" applyFont="1" applyBorder="1" applyProtection="1">
      <protection locked="0"/>
    </xf>
    <xf numFmtId="9" fontId="2" fillId="5" borderId="63" xfId="2" applyFont="1" applyFill="1" applyBorder="1"/>
    <xf numFmtId="9" fontId="2" fillId="5" borderId="78" xfId="2" applyFont="1" applyFill="1" applyBorder="1"/>
    <xf numFmtId="9" fontId="3" fillId="5" borderId="78" xfId="2" applyFont="1" applyFill="1" applyBorder="1"/>
    <xf numFmtId="9" fontId="2" fillId="5" borderId="79" xfId="2" applyFont="1" applyFill="1" applyBorder="1"/>
    <xf numFmtId="9" fontId="0" fillId="3" borderId="0" xfId="2" applyFont="1" applyFill="1"/>
    <xf numFmtId="9" fontId="3" fillId="5" borderId="83" xfId="2" applyFont="1" applyFill="1" applyBorder="1" applyAlignment="1">
      <alignment horizontal="center"/>
    </xf>
    <xf numFmtId="9" fontId="2" fillId="3" borderId="0" xfId="2" applyFont="1" applyFill="1"/>
    <xf numFmtId="9" fontId="3" fillId="5" borderId="91" xfId="2" applyFont="1" applyFill="1" applyBorder="1"/>
    <xf numFmtId="9" fontId="2" fillId="3" borderId="0" xfId="2" applyFont="1" applyFill="1" applyBorder="1"/>
    <xf numFmtId="9" fontId="2" fillId="2" borderId="0" xfId="2" applyFont="1" applyFill="1"/>
    <xf numFmtId="9" fontId="6" fillId="2" borderId="0" xfId="2" applyFont="1" applyFill="1" applyBorder="1"/>
    <xf numFmtId="9" fontId="3" fillId="2" borderId="0" xfId="2" applyFont="1" applyFill="1" applyBorder="1" applyAlignment="1">
      <alignment horizontal="center"/>
    </xf>
    <xf numFmtId="9" fontId="3" fillId="3" borderId="0" xfId="2" applyFont="1" applyFill="1" applyBorder="1" applyAlignment="1"/>
    <xf numFmtId="9" fontId="0" fillId="0" borderId="0" xfId="2" applyFont="1"/>
    <xf numFmtId="165" fontId="2" fillId="5" borderId="69" xfId="1" applyNumberFormat="1" applyFont="1" applyFill="1" applyBorder="1"/>
    <xf numFmtId="165" fontId="2" fillId="5" borderId="65" xfId="1" applyNumberFormat="1" applyFont="1" applyFill="1" applyBorder="1"/>
    <xf numFmtId="165" fontId="3" fillId="5" borderId="66" xfId="1" applyNumberFormat="1" applyFont="1" applyFill="1" applyBorder="1"/>
    <xf numFmtId="9" fontId="2" fillId="5" borderId="37" xfId="2" applyFont="1" applyFill="1" applyBorder="1"/>
    <xf numFmtId="9" fontId="2" fillId="5" borderId="38" xfId="2" applyFont="1" applyFill="1" applyBorder="1"/>
    <xf numFmtId="9" fontId="3" fillId="5" borderId="64" xfId="2" applyFont="1" applyFill="1" applyBorder="1"/>
    <xf numFmtId="9" fontId="2" fillId="5" borderId="85" xfId="2" applyFont="1" applyFill="1" applyBorder="1"/>
    <xf numFmtId="9" fontId="2" fillId="5" borderId="91" xfId="2" applyFont="1" applyFill="1" applyBorder="1"/>
    <xf numFmtId="9" fontId="3" fillId="5" borderId="83" xfId="2" applyFont="1" applyFill="1" applyBorder="1"/>
    <xf numFmtId="43" fontId="3" fillId="4" borderId="82" xfId="0" applyNumberFormat="1" applyFont="1" applyFill="1" applyBorder="1" applyAlignment="1">
      <alignment horizontal="center"/>
    </xf>
    <xf numFmtId="165" fontId="3" fillId="5" borderId="76" xfId="2" applyNumberFormat="1" applyFont="1" applyFill="1" applyBorder="1"/>
    <xf numFmtId="165" fontId="2" fillId="5" borderId="76" xfId="2" applyNumberFormat="1" applyFont="1" applyFill="1" applyBorder="1"/>
    <xf numFmtId="9" fontId="3" fillId="5" borderId="49" xfId="2" applyFont="1" applyFill="1" applyBorder="1" applyAlignment="1">
      <alignment horizontal="center"/>
    </xf>
    <xf numFmtId="0" fontId="12" fillId="0" borderId="0" xfId="4" applyAlignment="1">
      <alignment vertical="top"/>
    </xf>
    <xf numFmtId="0" fontId="12" fillId="0" borderId="0" xfId="4"/>
    <xf numFmtId="49" fontId="24" fillId="0" borderId="0" xfId="4" applyNumberFormat="1" applyFont="1" applyAlignment="1">
      <alignment vertical="top"/>
    </xf>
    <xf numFmtId="0" fontId="12" fillId="0" borderId="0" xfId="4" applyAlignment="1">
      <alignment horizontal="center" vertical="top"/>
    </xf>
    <xf numFmtId="14" fontId="12" fillId="0" borderId="0" xfId="4" applyNumberFormat="1" applyAlignment="1">
      <alignment horizontal="center" vertical="top"/>
    </xf>
    <xf numFmtId="17" fontId="12" fillId="0" borderId="0" xfId="4" applyNumberFormat="1" applyAlignment="1">
      <alignment horizontal="center" vertical="top"/>
    </xf>
    <xf numFmtId="0" fontId="12" fillId="0" borderId="0" xfId="4" quotePrefix="1" applyAlignment="1">
      <alignment vertical="top"/>
    </xf>
    <xf numFmtId="40" fontId="12" fillId="0" borderId="0" xfId="4" applyNumberFormat="1" applyAlignment="1">
      <alignment vertical="top"/>
    </xf>
    <xf numFmtId="0" fontId="12" fillId="9" borderId="0" xfId="4" quotePrefix="1" applyFill="1" applyAlignment="1">
      <alignment vertical="top"/>
    </xf>
    <xf numFmtId="0" fontId="14" fillId="9" borderId="0" xfId="4" applyFont="1" applyFill="1" applyAlignment="1">
      <alignment vertical="top"/>
    </xf>
    <xf numFmtId="40" fontId="14" fillId="9" borderId="0" xfId="4" applyNumberFormat="1" applyFont="1" applyFill="1" applyAlignment="1">
      <alignment vertical="top"/>
    </xf>
    <xf numFmtId="165" fontId="12" fillId="0" borderId="0" xfId="4" applyNumberFormat="1"/>
    <xf numFmtId="43" fontId="12" fillId="0" borderId="0" xfId="4" applyNumberFormat="1"/>
    <xf numFmtId="0" fontId="12" fillId="10" borderId="0" xfId="4" quotePrefix="1" applyFill="1" applyAlignment="1">
      <alignment vertical="top"/>
    </xf>
    <xf numFmtId="0" fontId="14" fillId="10" borderId="0" xfId="4" applyFont="1" applyFill="1" applyAlignment="1">
      <alignment vertical="top"/>
    </xf>
    <xf numFmtId="40" fontId="14" fillId="10" borderId="0" xfId="4" applyNumberFormat="1" applyFont="1" applyFill="1" applyAlignment="1">
      <alignment vertical="top"/>
    </xf>
    <xf numFmtId="0" fontId="14" fillId="0" borderId="0" xfId="4" applyFont="1" applyAlignment="1">
      <alignment vertical="top"/>
    </xf>
    <xf numFmtId="40" fontId="14" fillId="0" borderId="0" xfId="4" applyNumberFormat="1" applyFont="1" applyAlignment="1">
      <alignment vertical="top"/>
    </xf>
    <xf numFmtId="41" fontId="14" fillId="7" borderId="92" xfId="0" applyNumberFormat="1" applyFont="1" applyFill="1" applyBorder="1"/>
    <xf numFmtId="41" fontId="0" fillId="7" borderId="92" xfId="0" applyNumberFormat="1" applyFill="1" applyBorder="1"/>
    <xf numFmtId="41" fontId="0" fillId="0" borderId="0" xfId="0" applyNumberFormat="1"/>
    <xf numFmtId="41" fontId="0" fillId="0" borderId="0" xfId="0" applyNumberFormat="1" applyAlignment="1">
      <alignment horizontal="center"/>
    </xf>
    <xf numFmtId="41" fontId="12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41" fontId="14" fillId="12" borderId="26" xfId="0" applyNumberFormat="1" applyFont="1" applyFill="1" applyBorder="1" applyAlignment="1">
      <alignment horizontal="center"/>
    </xf>
    <xf numFmtId="0" fontId="14" fillId="7" borderId="0" xfId="0" applyFont="1" applyFill="1" applyAlignment="1">
      <alignment horizontal="center"/>
    </xf>
    <xf numFmtId="41" fontId="14" fillId="0" borderId="0" xfId="0" applyNumberFormat="1" applyFont="1" applyAlignment="1">
      <alignment horizontal="center"/>
    </xf>
    <xf numFmtId="41" fontId="12" fillId="0" borderId="0" xfId="0" applyNumberFormat="1" applyFont="1"/>
    <xf numFmtId="9" fontId="25" fillId="0" borderId="0" xfId="2" applyFont="1" applyFill="1" applyAlignment="1">
      <alignment horizontal="center"/>
    </xf>
    <xf numFmtId="43" fontId="0" fillId="0" borderId="0" xfId="0" applyNumberFormat="1"/>
    <xf numFmtId="10" fontId="0" fillId="0" borderId="0" xfId="2" applyNumberFormat="1" applyFont="1" applyAlignment="1">
      <alignment horizontal="center"/>
    </xf>
    <xf numFmtId="41" fontId="0" fillId="0" borderId="26" xfId="0" applyNumberFormat="1" applyBorder="1"/>
    <xf numFmtId="43" fontId="0" fillId="0" borderId="26" xfId="0" applyNumberFormat="1" applyBorder="1"/>
    <xf numFmtId="41" fontId="14" fillId="0" borderId="0" xfId="0" applyNumberFormat="1" applyFont="1"/>
    <xf numFmtId="43" fontId="14" fillId="0" borderId="0" xfId="0" applyNumberFormat="1" applyFont="1"/>
    <xf numFmtId="41" fontId="20" fillId="13" borderId="0" xfId="0" applyNumberFormat="1" applyFont="1" applyFill="1" applyAlignment="1">
      <alignment horizontal="right"/>
    </xf>
    <xf numFmtId="168" fontId="0" fillId="0" borderId="0" xfId="0" applyNumberFormat="1"/>
    <xf numFmtId="0" fontId="26" fillId="3" borderId="0" xfId="0" applyFont="1" applyFill="1"/>
    <xf numFmtId="165" fontId="13" fillId="0" borderId="1" xfId="1" applyNumberFormat="1" applyFont="1" applyBorder="1"/>
    <xf numFmtId="42" fontId="15" fillId="2" borderId="0" xfId="0" applyNumberFormat="1" applyFont="1" applyFill="1"/>
    <xf numFmtId="169" fontId="15" fillId="2" borderId="0" xfId="0" applyNumberFormat="1" applyFont="1" applyFill="1"/>
    <xf numFmtId="167" fontId="14" fillId="0" borderId="0" xfId="0" applyNumberFormat="1" applyFont="1"/>
    <xf numFmtId="165" fontId="2" fillId="0" borderId="38" xfId="1" applyNumberFormat="1" applyFont="1" applyFill="1" applyBorder="1"/>
    <xf numFmtId="43" fontId="3" fillId="4" borderId="49" xfId="0" applyNumberFormat="1" applyFont="1" applyFill="1" applyBorder="1" applyAlignment="1">
      <alignment horizontal="center"/>
    </xf>
    <xf numFmtId="43" fontId="3" fillId="5" borderId="49" xfId="0" applyNumberFormat="1" applyFont="1" applyFill="1" applyBorder="1" applyAlignment="1">
      <alignment horizontal="center"/>
    </xf>
    <xf numFmtId="165" fontId="2" fillId="2" borderId="75" xfId="1" applyNumberFormat="1" applyFont="1" applyFill="1" applyBorder="1"/>
    <xf numFmtId="165" fontId="3" fillId="2" borderId="49" xfId="1" applyNumberFormat="1" applyFont="1" applyFill="1" applyBorder="1"/>
    <xf numFmtId="165" fontId="2" fillId="2" borderId="53" xfId="1" applyNumberFormat="1" applyFont="1" applyFill="1" applyBorder="1"/>
    <xf numFmtId="165" fontId="2" fillId="2" borderId="94" xfId="1" applyNumberFormat="1" applyFont="1" applyFill="1" applyBorder="1"/>
    <xf numFmtId="41" fontId="2" fillId="3" borderId="67" xfId="0" applyNumberFormat="1" applyFont="1" applyFill="1" applyBorder="1" applyAlignment="1">
      <alignment horizontal="center"/>
    </xf>
    <xf numFmtId="165" fontId="2" fillId="2" borderId="74" xfId="1" applyNumberFormat="1" applyFont="1" applyFill="1" applyBorder="1"/>
    <xf numFmtId="165" fontId="0" fillId="3" borderId="0" xfId="0" applyNumberFormat="1" applyFill="1"/>
    <xf numFmtId="165" fontId="2" fillId="2" borderId="93" xfId="1" applyNumberFormat="1" applyFont="1" applyFill="1" applyBorder="1"/>
    <xf numFmtId="0" fontId="23" fillId="3" borderId="0" xfId="0" applyFont="1" applyFill="1"/>
    <xf numFmtId="0" fontId="23" fillId="5" borderId="0" xfId="0" applyFont="1" applyFill="1"/>
    <xf numFmtId="0" fontId="0" fillId="3" borderId="26" xfId="0" applyFill="1" applyBorder="1"/>
    <xf numFmtId="165" fontId="0" fillId="3" borderId="26" xfId="0" applyNumberFormat="1" applyFill="1" applyBorder="1"/>
    <xf numFmtId="0" fontId="27" fillId="3" borderId="0" xfId="0" applyFont="1" applyFill="1"/>
    <xf numFmtId="165" fontId="27" fillId="3" borderId="0" xfId="0" applyNumberFormat="1" applyFont="1" applyFill="1"/>
    <xf numFmtId="0" fontId="27" fillId="3" borderId="95" xfId="0" applyFont="1" applyFill="1" applyBorder="1"/>
    <xf numFmtId="165" fontId="27" fillId="3" borderId="96" xfId="0" applyNumberFormat="1" applyFont="1" applyFill="1" applyBorder="1"/>
    <xf numFmtId="0" fontId="28" fillId="3" borderId="97" xfId="0" applyFont="1" applyFill="1" applyBorder="1" applyAlignment="1">
      <alignment horizontal="right"/>
    </xf>
    <xf numFmtId="165" fontId="27" fillId="3" borderId="98" xfId="0" applyNumberFormat="1" applyFont="1" applyFill="1" applyBorder="1"/>
    <xf numFmtId="165" fontId="0" fillId="0" borderId="0" xfId="0" applyNumberFormat="1"/>
    <xf numFmtId="0" fontId="13" fillId="0" borderId="3" xfId="0" applyFont="1" applyBorder="1"/>
    <xf numFmtId="166" fontId="0" fillId="3" borderId="0" xfId="2" applyNumberFormat="1" applyFont="1" applyFill="1"/>
    <xf numFmtId="166" fontId="3" fillId="5" borderId="83" xfId="2" applyNumberFormat="1" applyFont="1" applyFill="1" applyBorder="1" applyAlignment="1">
      <alignment horizontal="center"/>
    </xf>
    <xf numFmtId="166" fontId="2" fillId="3" borderId="0" xfId="2" applyNumberFormat="1" applyFont="1" applyFill="1"/>
    <xf numFmtId="166" fontId="2" fillId="5" borderId="63" xfId="2" applyNumberFormat="1" applyFont="1" applyFill="1" applyBorder="1"/>
    <xf numFmtId="166" fontId="2" fillId="5" borderId="78" xfId="2" applyNumberFormat="1" applyFont="1" applyFill="1" applyBorder="1"/>
    <xf numFmtId="166" fontId="3" fillId="5" borderId="78" xfId="2" applyNumberFormat="1" applyFont="1" applyFill="1" applyBorder="1"/>
    <xf numFmtId="166" fontId="2" fillId="5" borderId="79" xfId="2" applyNumberFormat="1" applyFont="1" applyFill="1" applyBorder="1"/>
    <xf numFmtId="166" fontId="3" fillId="5" borderId="91" xfId="2" applyNumberFormat="1" applyFont="1" applyFill="1" applyBorder="1"/>
    <xf numFmtId="166" fontId="3" fillId="2" borderId="0" xfId="2" applyNumberFormat="1" applyFont="1" applyFill="1"/>
    <xf numFmtId="166" fontId="2" fillId="3" borderId="0" xfId="2" applyNumberFormat="1" applyFont="1" applyFill="1" applyBorder="1"/>
    <xf numFmtId="166" fontId="2" fillId="2" borderId="0" xfId="2" applyNumberFormat="1" applyFont="1" applyFill="1"/>
    <xf numFmtId="166" fontId="6" fillId="2" borderId="0" xfId="2" applyNumberFormat="1" applyFont="1" applyFill="1" applyBorder="1"/>
    <xf numFmtId="43" fontId="3" fillId="4" borderId="83" xfId="0" applyNumberFormat="1" applyFont="1" applyFill="1" applyBorder="1" applyAlignment="1">
      <alignment horizontal="center"/>
    </xf>
    <xf numFmtId="166" fontId="3" fillId="5" borderId="49" xfId="0" applyNumberFormat="1" applyFont="1" applyFill="1" applyBorder="1" applyAlignment="1">
      <alignment horizontal="center"/>
    </xf>
    <xf numFmtId="166" fontId="2" fillId="5" borderId="37" xfId="2" applyNumberFormat="1" applyFont="1" applyFill="1" applyBorder="1"/>
    <xf numFmtId="166" fontId="2" fillId="5" borderId="38" xfId="2" applyNumberFormat="1" applyFont="1" applyFill="1" applyBorder="1"/>
    <xf numFmtId="166" fontId="3" fillId="5" borderId="64" xfId="2" applyNumberFormat="1" applyFont="1" applyFill="1" applyBorder="1"/>
    <xf numFmtId="166" fontId="6" fillId="2" borderId="0" xfId="2" applyNumberFormat="1" applyFont="1" applyFill="1"/>
    <xf numFmtId="166" fontId="3" fillId="2" borderId="0" xfId="2" applyNumberFormat="1" applyFont="1" applyFill="1" applyBorder="1" applyAlignment="1">
      <alignment horizontal="center"/>
    </xf>
    <xf numFmtId="166" fontId="2" fillId="5" borderId="85" xfId="2" applyNumberFormat="1" applyFont="1" applyFill="1" applyBorder="1"/>
    <xf numFmtId="166" fontId="3" fillId="5" borderId="83" xfId="2" applyNumberFormat="1" applyFont="1" applyFill="1" applyBorder="1"/>
    <xf numFmtId="166" fontId="3" fillId="2" borderId="0" xfId="2" applyNumberFormat="1" applyFont="1" applyFill="1" applyBorder="1"/>
    <xf numFmtId="166" fontId="3" fillId="3" borderId="0" xfId="2" applyNumberFormat="1" applyFont="1" applyFill="1" applyBorder="1" applyAlignment="1"/>
    <xf numFmtId="43" fontId="3" fillId="4" borderId="99" xfId="0" applyNumberFormat="1" applyFont="1" applyFill="1" applyBorder="1" applyAlignment="1">
      <alignment horizontal="center"/>
    </xf>
    <xf numFmtId="43" fontId="3" fillId="4" borderId="100" xfId="0" applyNumberFormat="1" applyFont="1" applyFill="1" applyBorder="1" applyAlignment="1">
      <alignment horizontal="center"/>
    </xf>
    <xf numFmtId="166" fontId="2" fillId="5" borderId="91" xfId="2" applyNumberFormat="1" applyFont="1" applyFill="1" applyBorder="1"/>
    <xf numFmtId="165" fontId="2" fillId="5" borderId="82" xfId="1" applyNumberFormat="1" applyFont="1" applyFill="1" applyBorder="1"/>
    <xf numFmtId="166" fontId="2" fillId="5" borderId="49" xfId="2" applyNumberFormat="1" applyFont="1" applyFill="1" applyBorder="1"/>
    <xf numFmtId="166" fontId="0" fillId="0" borderId="0" xfId="2" applyNumberFormat="1" applyFont="1"/>
    <xf numFmtId="165" fontId="2" fillId="2" borderId="101" xfId="1" applyNumberFormat="1" applyFont="1" applyFill="1" applyBorder="1"/>
    <xf numFmtId="165" fontId="3" fillId="2" borderId="102" xfId="1" applyNumberFormat="1" applyFont="1" applyFill="1" applyBorder="1"/>
    <xf numFmtId="165" fontId="3" fillId="2" borderId="68" xfId="1" applyNumberFormat="1" applyFont="1" applyFill="1" applyBorder="1"/>
    <xf numFmtId="41" fontId="2" fillId="2" borderId="69" xfId="1" applyNumberFormat="1" applyFont="1" applyFill="1" applyBorder="1"/>
    <xf numFmtId="41" fontId="2" fillId="2" borderId="66" xfId="1" applyNumberFormat="1" applyFont="1" applyFill="1" applyBorder="1"/>
    <xf numFmtId="165" fontId="3" fillId="2" borderId="69" xfId="1" applyNumberFormat="1" applyFont="1" applyFill="1" applyBorder="1"/>
    <xf numFmtId="165" fontId="3" fillId="2" borderId="103" xfId="1" applyNumberFormat="1" applyFont="1" applyFill="1" applyBorder="1"/>
    <xf numFmtId="165" fontId="3" fillId="2" borderId="104" xfId="1" applyNumberFormat="1" applyFont="1" applyFill="1" applyBorder="1"/>
    <xf numFmtId="165" fontId="3" fillId="2" borderId="82" xfId="1" applyNumberFormat="1" applyFont="1" applyFill="1" applyBorder="1"/>
    <xf numFmtId="0" fontId="11" fillId="3" borderId="0" xfId="0" applyFont="1" applyFill="1"/>
    <xf numFmtId="0" fontId="31" fillId="3" borderId="0" xfId="0" applyFont="1" applyFill="1"/>
    <xf numFmtId="0" fontId="32" fillId="3" borderId="0" xfId="0" applyFont="1" applyFill="1"/>
    <xf numFmtId="0" fontId="33" fillId="7" borderId="3" xfId="0" applyFont="1" applyFill="1" applyBorder="1" applyAlignment="1">
      <alignment horizontal="center"/>
    </xf>
    <xf numFmtId="0" fontId="33" fillId="7" borderId="1" xfId="0" applyFont="1" applyFill="1" applyBorder="1" applyAlignment="1">
      <alignment horizontal="center"/>
    </xf>
    <xf numFmtId="49" fontId="11" fillId="3" borderId="0" xfId="0" applyNumberFormat="1" applyFont="1" applyFill="1"/>
    <xf numFmtId="17" fontId="11" fillId="3" borderId="0" xfId="0" applyNumberFormat="1" applyFont="1" applyFill="1"/>
    <xf numFmtId="170" fontId="29" fillId="3" borderId="1" xfId="0" applyNumberFormat="1" applyFont="1" applyFill="1" applyBorder="1"/>
    <xf numFmtId="170" fontId="29" fillId="3" borderId="1" xfId="0" applyNumberFormat="1" applyFont="1" applyFill="1" applyBorder="1" applyAlignment="1">
      <alignment horizontal="left"/>
    </xf>
    <xf numFmtId="171" fontId="11" fillId="3" borderId="0" xfId="0" applyNumberFormat="1" applyFont="1" applyFill="1"/>
    <xf numFmtId="170" fontId="11" fillId="3" borderId="0" xfId="0" applyNumberFormat="1" applyFont="1" applyFill="1"/>
    <xf numFmtId="0" fontId="33" fillId="3" borderId="0" xfId="0" applyFont="1" applyFill="1" applyAlignment="1">
      <alignment horizontal="center"/>
    </xf>
    <xf numFmtId="170" fontId="29" fillId="3" borderId="0" xfId="0" applyNumberFormat="1" applyFont="1" applyFill="1"/>
    <xf numFmtId="170" fontId="33" fillId="3" borderId="0" xfId="0" applyNumberFormat="1" applyFont="1" applyFill="1"/>
    <xf numFmtId="0" fontId="29" fillId="3" borderId="0" xfId="0" applyFont="1" applyFill="1"/>
    <xf numFmtId="0" fontId="11" fillId="3" borderId="0" xfId="0" applyFont="1" applyFill="1" applyAlignment="1">
      <alignment horizontal="right"/>
    </xf>
    <xf numFmtId="166" fontId="11" fillId="5" borderId="1" xfId="0" applyNumberFormat="1" applyFont="1" applyFill="1" applyBorder="1"/>
    <xf numFmtId="166" fontId="11" fillId="3" borderId="0" xfId="0" applyNumberFormat="1" applyFont="1" applyFill="1"/>
    <xf numFmtId="165" fontId="3" fillId="2" borderId="9" xfId="1" applyNumberFormat="1" applyFont="1" applyFill="1" applyBorder="1"/>
    <xf numFmtId="165" fontId="3" fillId="2" borderId="105" xfId="1" applyNumberFormat="1" applyFont="1" applyFill="1" applyBorder="1"/>
    <xf numFmtId="165" fontId="3" fillId="2" borderId="106" xfId="1" applyNumberFormat="1" applyFont="1" applyFill="1" applyBorder="1"/>
    <xf numFmtId="165" fontId="3" fillId="2" borderId="107" xfId="1" applyNumberFormat="1" applyFont="1" applyFill="1" applyBorder="1"/>
    <xf numFmtId="0" fontId="33" fillId="3" borderId="1" xfId="0" applyFont="1" applyFill="1" applyBorder="1" applyAlignment="1">
      <alignment horizontal="center"/>
    </xf>
    <xf numFmtId="0" fontId="24" fillId="2" borderId="0" xfId="5" applyFont="1" applyFill="1"/>
    <xf numFmtId="165" fontId="0" fillId="0" borderId="0" xfId="6" applyNumberFormat="1" applyFont="1" applyAlignment="1">
      <alignment vertical="top"/>
    </xf>
    <xf numFmtId="165" fontId="0" fillId="0" borderId="0" xfId="6" applyNumberFormat="1" applyFont="1" applyAlignment="1">
      <alignment horizontal="center" vertical="top"/>
    </xf>
    <xf numFmtId="165" fontId="0" fillId="0" borderId="0" xfId="6" quotePrefix="1" applyNumberFormat="1" applyFont="1" applyAlignment="1">
      <alignment vertical="top"/>
    </xf>
    <xf numFmtId="165" fontId="14" fillId="9" borderId="0" xfId="6" applyNumberFormat="1" applyFont="1" applyFill="1" applyAlignment="1">
      <alignment vertical="top"/>
    </xf>
    <xf numFmtId="165" fontId="0" fillId="0" borderId="0" xfId="6" applyNumberFormat="1" applyFont="1"/>
    <xf numFmtId="164" fontId="12" fillId="0" borderId="0" xfId="4" applyNumberFormat="1"/>
    <xf numFmtId="165" fontId="0" fillId="0" borderId="0" xfId="6" applyNumberFormat="1" applyFont="1" applyFill="1"/>
    <xf numFmtId="0" fontId="29" fillId="0" borderId="0" xfId="5" applyFont="1"/>
    <xf numFmtId="165" fontId="34" fillId="0" borderId="0" xfId="6" applyNumberFormat="1" applyFont="1" applyFill="1"/>
    <xf numFmtId="165" fontId="12" fillId="0" borderId="0" xfId="6" applyNumberFormat="1" applyFont="1" applyAlignment="1">
      <alignment vertical="top"/>
    </xf>
    <xf numFmtId="165" fontId="0" fillId="0" borderId="0" xfId="6" applyNumberFormat="1" applyFont="1" applyFill="1" applyAlignment="1">
      <alignment vertical="top"/>
    </xf>
    <xf numFmtId="165" fontId="12" fillId="0" borderId="0" xfId="6" applyNumberFormat="1" applyFill="1"/>
    <xf numFmtId="165" fontId="12" fillId="0" borderId="0" xfId="6" applyNumberFormat="1"/>
    <xf numFmtId="165" fontId="12" fillId="0" borderId="0" xfId="6" applyNumberFormat="1" applyAlignment="1">
      <alignment vertical="top"/>
    </xf>
    <xf numFmtId="165" fontId="14" fillId="10" borderId="0" xfId="6" applyNumberFormat="1" applyFont="1" applyFill="1" applyAlignment="1">
      <alignment vertical="top"/>
    </xf>
    <xf numFmtId="165" fontId="12" fillId="0" borderId="0" xfId="6" applyNumberFormat="1" applyFill="1" applyAlignment="1">
      <alignment vertical="top"/>
    </xf>
    <xf numFmtId="165" fontId="14" fillId="0" borderId="0" xfId="6" applyNumberFormat="1" applyFont="1" applyAlignment="1">
      <alignment vertical="top"/>
    </xf>
    <xf numFmtId="165" fontId="2" fillId="2" borderId="63" xfId="1" applyNumberFormat="1" applyFont="1" applyFill="1" applyBorder="1"/>
    <xf numFmtId="0" fontId="2" fillId="3" borderId="64" xfId="0" applyFont="1" applyFill="1" applyBorder="1"/>
    <xf numFmtId="0" fontId="2" fillId="3" borderId="108" xfId="0" applyFont="1" applyFill="1" applyBorder="1"/>
    <xf numFmtId="0" fontId="2" fillId="3" borderId="67" xfId="0" applyFont="1" applyFill="1" applyBorder="1"/>
    <xf numFmtId="0" fontId="2" fillId="3" borderId="38" xfId="0" applyFont="1" applyFill="1" applyBorder="1"/>
    <xf numFmtId="0" fontId="3" fillId="3" borderId="64" xfId="0" applyFont="1" applyFill="1" applyBorder="1"/>
    <xf numFmtId="0" fontId="3" fillId="3" borderId="38" xfId="0" applyFont="1" applyFill="1" applyBorder="1"/>
    <xf numFmtId="0" fontId="3" fillId="3" borderId="37" xfId="0" applyFont="1" applyFill="1" applyBorder="1"/>
    <xf numFmtId="0" fontId="2" fillId="3" borderId="109" xfId="0" applyFont="1" applyFill="1" applyBorder="1"/>
    <xf numFmtId="41" fontId="2" fillId="3" borderId="49" xfId="0" applyNumberFormat="1" applyFont="1" applyFill="1" applyBorder="1"/>
    <xf numFmtId="41" fontId="3" fillId="2" borderId="67" xfId="1" applyNumberFormat="1" applyFont="1" applyFill="1" applyBorder="1"/>
    <xf numFmtId="41" fontId="2" fillId="3" borderId="37" xfId="0" applyNumberFormat="1" applyFont="1" applyFill="1" applyBorder="1"/>
    <xf numFmtId="41" fontId="2" fillId="3" borderId="64" xfId="0" applyNumberFormat="1" applyFont="1" applyFill="1" applyBorder="1"/>
    <xf numFmtId="41" fontId="2" fillId="3" borderId="67" xfId="0" applyNumberFormat="1" applyFont="1" applyFill="1" applyBorder="1"/>
    <xf numFmtId="41" fontId="2" fillId="3" borderId="38" xfId="0" applyNumberFormat="1" applyFont="1" applyFill="1" applyBorder="1"/>
    <xf numFmtId="41" fontId="3" fillId="3" borderId="37" xfId="0" applyNumberFormat="1" applyFont="1" applyFill="1" applyBorder="1"/>
    <xf numFmtId="41" fontId="2" fillId="3" borderId="108" xfId="0" applyNumberFormat="1" applyFont="1" applyFill="1" applyBorder="1"/>
    <xf numFmtId="0" fontId="13" fillId="2" borderId="0" xfId="7" applyFont="1" applyFill="1" applyAlignment="1">
      <alignment horizontal="right"/>
    </xf>
    <xf numFmtId="0" fontId="30" fillId="2" borderId="0" xfId="7" applyFont="1" applyFill="1"/>
    <xf numFmtId="0" fontId="13" fillId="2" borderId="0" xfId="7" applyFont="1" applyFill="1"/>
    <xf numFmtId="0" fontId="35" fillId="2" borderId="0" xfId="4" applyFont="1" applyFill="1"/>
    <xf numFmtId="0" fontId="13" fillId="3" borderId="0" xfId="7" applyFont="1" applyFill="1"/>
    <xf numFmtId="0" fontId="14" fillId="2" borderId="0" xfId="7" applyFont="1" applyFill="1"/>
    <xf numFmtId="0" fontId="14" fillId="2" borderId="0" xfId="7" quotePrefix="1" applyFont="1" applyFill="1"/>
    <xf numFmtId="0" fontId="14" fillId="7" borderId="67" xfId="7" applyFont="1" applyFill="1" applyBorder="1" applyAlignment="1">
      <alignment horizontal="center" vertical="center"/>
    </xf>
    <xf numFmtId="0" fontId="14" fillId="7" borderId="37" xfId="7" applyFont="1" applyFill="1" applyBorder="1" applyAlignment="1">
      <alignment horizontal="center" vertical="center"/>
    </xf>
    <xf numFmtId="2" fontId="19" fillId="2" borderId="60" xfId="8" applyNumberFormat="1" applyFont="1" applyFill="1" applyBorder="1" applyAlignment="1">
      <alignment horizontal="center" vertical="center"/>
    </xf>
    <xf numFmtId="0" fontId="19" fillId="3" borderId="60" xfId="8" applyFont="1" applyFill="1" applyBorder="1" applyAlignment="1">
      <alignment vertical="center"/>
    </xf>
    <xf numFmtId="42" fontId="19" fillId="2" borderId="60" xfId="7" applyNumberFormat="1" applyFont="1" applyFill="1" applyBorder="1" applyAlignment="1">
      <alignment vertical="center"/>
    </xf>
    <xf numFmtId="0" fontId="13" fillId="0" borderId="0" xfId="7" applyFont="1" applyAlignment="1">
      <alignment horizontal="right"/>
    </xf>
    <xf numFmtId="2" fontId="19" fillId="2" borderId="90" xfId="8" applyNumberFormat="1" applyFont="1" applyFill="1" applyBorder="1" applyAlignment="1">
      <alignment horizontal="center" vertical="center"/>
    </xf>
    <xf numFmtId="0" fontId="19" fillId="3" borderId="90" xfId="8" applyFont="1" applyFill="1" applyBorder="1" applyAlignment="1">
      <alignment vertical="center"/>
    </xf>
    <xf numFmtId="42" fontId="19" fillId="2" borderId="90" xfId="7" applyNumberFormat="1" applyFont="1" applyFill="1" applyBorder="1" applyAlignment="1">
      <alignment vertical="center"/>
    </xf>
    <xf numFmtId="0" fontId="13" fillId="3" borderId="0" xfId="7" applyFont="1" applyFill="1" applyAlignment="1">
      <alignment vertical="top"/>
    </xf>
    <xf numFmtId="0" fontId="13" fillId="0" borderId="0" xfId="7" applyFont="1"/>
    <xf numFmtId="42" fontId="19" fillId="0" borderId="90" xfId="7" applyNumberFormat="1" applyFont="1" applyBorder="1" applyAlignment="1">
      <alignment vertical="center"/>
    </xf>
    <xf numFmtId="42" fontId="36" fillId="3" borderId="90" xfId="7" applyNumberFormat="1" applyFont="1" applyFill="1" applyBorder="1" applyAlignment="1">
      <alignment horizontal="right" vertical="center"/>
    </xf>
    <xf numFmtId="0" fontId="13" fillId="2" borderId="0" xfId="7" applyFont="1" applyFill="1" applyAlignment="1">
      <alignment horizontal="right" vertical="top"/>
    </xf>
    <xf numFmtId="42" fontId="19" fillId="3" borderId="90" xfId="7" applyNumberFormat="1" applyFont="1" applyFill="1" applyBorder="1" applyAlignment="1">
      <alignment vertical="center"/>
    </xf>
    <xf numFmtId="0" fontId="13" fillId="2" borderId="0" xfId="7" applyFont="1" applyFill="1" applyAlignment="1">
      <alignment vertical="top"/>
    </xf>
    <xf numFmtId="0" fontId="19" fillId="0" borderId="38" xfId="8" applyFont="1" applyBorder="1" applyAlignment="1">
      <alignment vertical="center"/>
    </xf>
    <xf numFmtId="0" fontId="13" fillId="3" borderId="0" xfId="7" applyFont="1" applyFill="1" applyAlignment="1">
      <alignment horizontal="right"/>
    </xf>
    <xf numFmtId="0" fontId="19" fillId="3" borderId="5" xfId="7" applyFont="1" applyFill="1" applyBorder="1" applyAlignment="1">
      <alignment vertical="center"/>
    </xf>
    <xf numFmtId="0" fontId="19" fillId="3" borderId="90" xfId="8" applyFont="1" applyFill="1" applyBorder="1" applyAlignment="1">
      <alignment vertical="center" wrapText="1"/>
    </xf>
    <xf numFmtId="0" fontId="36" fillId="3" borderId="90" xfId="8" applyFont="1" applyFill="1" applyBorder="1" applyAlignment="1">
      <alignment vertical="center"/>
    </xf>
    <xf numFmtId="0" fontId="19" fillId="3" borderId="35" xfId="8" applyFont="1" applyFill="1" applyBorder="1" applyAlignment="1">
      <alignment vertical="center"/>
    </xf>
    <xf numFmtId="42" fontId="36" fillId="3" borderId="35" xfId="7" applyNumberFormat="1" applyFont="1" applyFill="1" applyBorder="1" applyAlignment="1">
      <alignment horizontal="right" vertical="center"/>
    </xf>
    <xf numFmtId="0" fontId="19" fillId="2" borderId="64" xfId="7" applyFont="1" applyFill="1" applyBorder="1"/>
    <xf numFmtId="0" fontId="18" fillId="2" borderId="49" xfId="7" applyFont="1" applyFill="1" applyBorder="1"/>
    <xf numFmtId="42" fontId="18" fillId="2" borderId="49" xfId="7" applyNumberFormat="1" applyFont="1" applyFill="1" applyBorder="1"/>
    <xf numFmtId="0" fontId="15" fillId="2" borderId="0" xfId="7" applyFont="1" applyFill="1" applyAlignment="1">
      <alignment horizontal="right"/>
    </xf>
    <xf numFmtId="0" fontId="15" fillId="3" borderId="0" xfId="7" applyFont="1" applyFill="1"/>
    <xf numFmtId="0" fontId="15" fillId="2" borderId="0" xfId="7" applyFont="1" applyFill="1"/>
    <xf numFmtId="49" fontId="15" fillId="3" borderId="0" xfId="7" applyNumberFormat="1" applyFont="1" applyFill="1" applyAlignment="1">
      <alignment horizontal="center"/>
    </xf>
    <xf numFmtId="0" fontId="37" fillId="7" borderId="67" xfId="7" applyFont="1" applyFill="1" applyBorder="1" applyAlignment="1">
      <alignment vertical="center"/>
    </xf>
    <xf numFmtId="0" fontId="37" fillId="7" borderId="83" xfId="7" applyFont="1" applyFill="1" applyBorder="1" applyAlignment="1">
      <alignment vertical="center"/>
    </xf>
    <xf numFmtId="0" fontId="18" fillId="7" borderId="67" xfId="7" applyFont="1" applyFill="1" applyBorder="1" applyAlignment="1">
      <alignment horizontal="center"/>
    </xf>
    <xf numFmtId="0" fontId="19" fillId="2" borderId="60" xfId="7" applyFont="1" applyFill="1" applyBorder="1" applyAlignment="1">
      <alignment horizontal="center" vertical="center"/>
    </xf>
    <xf numFmtId="0" fontId="19" fillId="2" borderId="38" xfId="7" applyFont="1" applyFill="1" applyBorder="1" applyAlignment="1">
      <alignment horizontal="center" vertical="center"/>
    </xf>
    <xf numFmtId="0" fontId="19" fillId="2" borderId="90" xfId="7" applyFont="1" applyFill="1" applyBorder="1" applyAlignment="1">
      <alignment horizontal="center" vertical="center"/>
    </xf>
    <xf numFmtId="0" fontId="19" fillId="3" borderId="5" xfId="8" applyFont="1" applyFill="1" applyBorder="1" applyAlignment="1">
      <alignment vertical="center"/>
    </xf>
    <xf numFmtId="0" fontId="19" fillId="0" borderId="5" xfId="7" applyFont="1" applyBorder="1" applyAlignment="1">
      <alignment vertical="center"/>
    </xf>
    <xf numFmtId="0" fontId="19" fillId="0" borderId="14" xfId="7" applyFont="1" applyBorder="1" applyAlignment="1">
      <alignment vertical="center"/>
    </xf>
    <xf numFmtId="42" fontId="19" fillId="2" borderId="38" xfId="7" applyNumberFormat="1" applyFont="1" applyFill="1" applyBorder="1" applyAlignment="1">
      <alignment vertical="center"/>
    </xf>
    <xf numFmtId="0" fontId="18" fillId="2" borderId="86" xfId="7" applyFont="1" applyFill="1" applyBorder="1" applyAlignment="1">
      <alignment horizontal="right"/>
    </xf>
    <xf numFmtId="0" fontId="18" fillId="2" borderId="110" xfId="7" applyFont="1" applyFill="1" applyBorder="1" applyAlignment="1">
      <alignment vertical="center"/>
    </xf>
    <xf numFmtId="42" fontId="18" fillId="2" borderId="49" xfId="7" applyNumberFormat="1" applyFont="1" applyFill="1" applyBorder="1" applyAlignment="1">
      <alignment vertical="center"/>
    </xf>
    <xf numFmtId="0" fontId="13" fillId="2" borderId="0" xfId="5" applyFont="1" applyFill="1"/>
    <xf numFmtId="0" fontId="14" fillId="2" borderId="0" xfId="5" applyFont="1" applyFill="1"/>
    <xf numFmtId="0" fontId="14" fillId="8" borderId="0" xfId="5" applyFont="1" applyFill="1" applyAlignment="1">
      <alignment horizontal="center"/>
    </xf>
    <xf numFmtId="0" fontId="14" fillId="8" borderId="0" xfId="5" applyFont="1" applyFill="1"/>
    <xf numFmtId="167" fontId="14" fillId="2" borderId="0" xfId="5" applyNumberFormat="1" applyFont="1" applyFill="1"/>
    <xf numFmtId="167" fontId="14" fillId="0" borderId="0" xfId="5" applyNumberFormat="1" applyFont="1"/>
    <xf numFmtId="43" fontId="21" fillId="2" borderId="0" xfId="5" applyNumberFormat="1" applyFont="1" applyFill="1"/>
    <xf numFmtId="167" fontId="13" fillId="2" borderId="0" xfId="5" applyNumberFormat="1" applyFont="1" applyFill="1"/>
    <xf numFmtId="0" fontId="12" fillId="2" borderId="0" xfId="5" applyFont="1" applyFill="1"/>
    <xf numFmtId="7" fontId="13" fillId="2" borderId="0" xfId="5" applyNumberFormat="1" applyFont="1" applyFill="1"/>
    <xf numFmtId="5" fontId="13" fillId="2" borderId="0" xfId="5" applyNumberFormat="1" applyFont="1" applyFill="1"/>
    <xf numFmtId="0" fontId="14" fillId="2" borderId="0" xfId="5" applyFont="1" applyFill="1" applyAlignment="1">
      <alignment horizontal="right"/>
    </xf>
    <xf numFmtId="0" fontId="14" fillId="2" borderId="84" xfId="5" applyFont="1" applyFill="1" applyBorder="1"/>
    <xf numFmtId="167" fontId="14" fillId="2" borderId="84" xfId="5" applyNumberFormat="1" applyFont="1" applyFill="1" applyBorder="1"/>
    <xf numFmtId="164" fontId="13" fillId="2" borderId="0" xfId="5" applyNumberFormat="1" applyFont="1" applyFill="1"/>
    <xf numFmtId="0" fontId="17" fillId="2" borderId="0" xfId="5" applyFont="1" applyFill="1" applyAlignment="1">
      <alignment horizontal="right"/>
    </xf>
    <xf numFmtId="0" fontId="22" fillId="2" borderId="0" xfId="5" applyFont="1" applyFill="1" applyAlignment="1">
      <alignment horizontal="right"/>
    </xf>
    <xf numFmtId="0" fontId="13" fillId="2" borderId="0" xfId="5" applyFont="1" applyFill="1" applyAlignment="1">
      <alignment horizontal="right"/>
    </xf>
    <xf numFmtId="165" fontId="12" fillId="0" borderId="0" xfId="6" applyNumberFormat="1" applyFont="1" applyFill="1"/>
    <xf numFmtId="0" fontId="13" fillId="2" borderId="0" xfId="8" applyFont="1" applyFill="1" applyAlignment="1">
      <alignment horizontal="right"/>
    </xf>
    <xf numFmtId="0" fontId="14" fillId="2" borderId="0" xfId="8" applyFont="1" applyFill="1"/>
    <xf numFmtId="0" fontId="13" fillId="2" borderId="0" xfId="8" applyFont="1" applyFill="1"/>
    <xf numFmtId="7" fontId="13" fillId="2" borderId="0" xfId="8" applyNumberFormat="1" applyFont="1" applyFill="1"/>
    <xf numFmtId="5" fontId="15" fillId="7" borderId="8" xfId="8" applyNumberFormat="1" applyFont="1" applyFill="1" applyBorder="1" applyAlignment="1">
      <alignment horizontal="center"/>
    </xf>
    <xf numFmtId="5" fontId="15" fillId="2" borderId="0" xfId="8" applyNumberFormat="1" applyFont="1" applyFill="1" applyAlignment="1">
      <alignment horizontal="center"/>
    </xf>
    <xf numFmtId="0" fontId="14" fillId="2" borderId="0" xfId="8" applyFont="1" applyFill="1" applyAlignment="1">
      <alignment horizontal="right"/>
    </xf>
    <xf numFmtId="0" fontId="14" fillId="7" borderId="12" xfId="8" applyFont="1" applyFill="1" applyBorder="1" applyAlignment="1">
      <alignment horizontal="center"/>
    </xf>
    <xf numFmtId="49" fontId="14" fillId="2" borderId="0" xfId="8" applyNumberFormat="1" applyFont="1" applyFill="1" applyAlignment="1">
      <alignment horizontal="right"/>
    </xf>
    <xf numFmtId="49" fontId="14" fillId="7" borderId="12" xfId="8" quotePrefix="1" applyNumberFormat="1" applyFont="1" applyFill="1" applyBorder="1" applyAlignment="1">
      <alignment horizontal="center"/>
    </xf>
    <xf numFmtId="49" fontId="14" fillId="7" borderId="12" xfId="8" applyNumberFormat="1" applyFont="1" applyFill="1" applyBorder="1" applyAlignment="1">
      <alignment horizontal="center"/>
    </xf>
    <xf numFmtId="41" fontId="13" fillId="2" borderId="0" xfId="8" applyNumberFormat="1" applyFont="1" applyFill="1"/>
    <xf numFmtId="42" fontId="13" fillId="0" borderId="1" xfId="8" applyNumberFormat="1" applyFont="1" applyBorder="1"/>
    <xf numFmtId="0" fontId="13" fillId="0" borderId="0" xfId="8" applyFont="1"/>
    <xf numFmtId="0" fontId="12" fillId="0" borderId="1" xfId="5" applyFont="1" applyBorder="1" applyProtection="1">
      <protection locked="0"/>
    </xf>
    <xf numFmtId="0" fontId="13" fillId="0" borderId="0" xfId="8" applyFont="1" applyAlignment="1">
      <alignment horizontal="right"/>
    </xf>
    <xf numFmtId="41" fontId="13" fillId="0" borderId="0" xfId="8" applyNumberFormat="1" applyFont="1"/>
    <xf numFmtId="0" fontId="13" fillId="0" borderId="1" xfId="8" applyFont="1" applyBorder="1"/>
    <xf numFmtId="17" fontId="13" fillId="0" borderId="1" xfId="8" applyNumberFormat="1" applyFont="1" applyBorder="1" applyAlignment="1">
      <alignment horizontal="left"/>
    </xf>
    <xf numFmtId="0" fontId="13" fillId="0" borderId="3" xfId="8" applyFont="1" applyBorder="1"/>
    <xf numFmtId="0" fontId="19" fillId="3" borderId="38" xfId="8" applyFont="1" applyFill="1" applyBorder="1" applyAlignment="1">
      <alignment vertical="center" wrapText="1"/>
    </xf>
    <xf numFmtId="41" fontId="12" fillId="0" borderId="0" xfId="8" applyNumberFormat="1" applyFont="1" applyAlignment="1">
      <alignment horizontal="right"/>
    </xf>
    <xf numFmtId="42" fontId="12" fillId="0" borderId="1" xfId="8" applyNumberFormat="1" applyFont="1" applyBorder="1" applyAlignment="1">
      <alignment horizontal="right"/>
    </xf>
    <xf numFmtId="0" fontId="13" fillId="0" borderId="1" xfId="8" applyFont="1" applyBorder="1" applyAlignment="1">
      <alignment wrapText="1"/>
    </xf>
    <xf numFmtId="0" fontId="12" fillId="0" borderId="1" xfId="8" applyFont="1" applyBorder="1" applyProtection="1">
      <protection locked="0"/>
    </xf>
    <xf numFmtId="0" fontId="13" fillId="2" borderId="1" xfId="8" applyFont="1" applyFill="1" applyBorder="1"/>
    <xf numFmtId="42" fontId="12" fillId="0" borderId="1" xfId="8" applyNumberFormat="1" applyFont="1" applyBorder="1"/>
    <xf numFmtId="0" fontId="15" fillId="2" borderId="0" xfId="8" applyFont="1" applyFill="1" applyAlignment="1">
      <alignment horizontal="right"/>
    </xf>
    <xf numFmtId="0" fontId="15" fillId="2" borderId="1" xfId="8" applyFont="1" applyFill="1" applyBorder="1"/>
    <xf numFmtId="0" fontId="15" fillId="2" borderId="0" xfId="8" applyFont="1" applyFill="1"/>
    <xf numFmtId="42" fontId="15" fillId="2" borderId="1" xfId="8" applyNumberFormat="1" applyFont="1" applyFill="1" applyBorder="1"/>
    <xf numFmtId="167" fontId="13" fillId="2" borderId="0" xfId="8" applyNumberFormat="1" applyFont="1" applyFill="1"/>
    <xf numFmtId="167" fontId="16" fillId="2" borderId="0" xfId="8" applyNumberFormat="1" applyFont="1" applyFill="1"/>
    <xf numFmtId="0" fontId="17" fillId="2" borderId="0" xfId="8" applyFont="1" applyFill="1" applyAlignment="1">
      <alignment horizontal="right"/>
    </xf>
    <xf numFmtId="0" fontId="20" fillId="2" borderId="0" xfId="8" applyFont="1" applyFill="1"/>
    <xf numFmtId="0" fontId="13" fillId="3" borderId="0" xfId="8" applyFont="1" applyFill="1"/>
    <xf numFmtId="49" fontId="15" fillId="7" borderId="8" xfId="8" applyNumberFormat="1" applyFont="1" applyFill="1" applyBorder="1" applyAlignment="1">
      <alignment horizontal="center"/>
    </xf>
    <xf numFmtId="49" fontId="15" fillId="3" borderId="7" xfId="8" applyNumberFormat="1" applyFont="1" applyFill="1" applyBorder="1" applyAlignment="1">
      <alignment horizontal="center"/>
    </xf>
    <xf numFmtId="0" fontId="14" fillId="7" borderId="1" xfId="8" applyFont="1" applyFill="1" applyBorder="1" applyAlignment="1">
      <alignment vertical="center"/>
    </xf>
    <xf numFmtId="0" fontId="15" fillId="7" borderId="12" xfId="8" applyFont="1" applyFill="1" applyBorder="1" applyAlignment="1">
      <alignment horizontal="center"/>
    </xf>
    <xf numFmtId="17" fontId="15" fillId="7" borderId="12" xfId="8" quotePrefix="1" applyNumberFormat="1" applyFont="1" applyFill="1" applyBorder="1" applyAlignment="1">
      <alignment horizontal="center"/>
    </xf>
    <xf numFmtId="49" fontId="15" fillId="7" borderId="12" xfId="8" applyNumberFormat="1" applyFont="1" applyFill="1" applyBorder="1" applyAlignment="1">
      <alignment horizontal="center"/>
    </xf>
    <xf numFmtId="0" fontId="19" fillId="3" borderId="5" xfId="7" applyFont="1" applyFill="1" applyBorder="1" applyAlignment="1">
      <alignment vertical="center" wrapText="1"/>
    </xf>
    <xf numFmtId="42" fontId="13" fillId="2" borderId="1" xfId="8" applyNumberFormat="1" applyFont="1" applyFill="1" applyBorder="1"/>
    <xf numFmtId="42" fontId="13" fillId="3" borderId="7" xfId="8" applyNumberFormat="1" applyFont="1" applyFill="1" applyBorder="1"/>
    <xf numFmtId="0" fontId="13" fillId="2" borderId="7" xfId="8" applyFont="1" applyFill="1" applyBorder="1"/>
    <xf numFmtId="17" fontId="13" fillId="2" borderId="1" xfId="8" applyNumberFormat="1" applyFont="1" applyFill="1" applyBorder="1" applyAlignment="1">
      <alignment horizontal="left"/>
    </xf>
    <xf numFmtId="0" fontId="13" fillId="0" borderId="9" xfId="8" applyFont="1" applyBorder="1"/>
    <xf numFmtId="0" fontId="19" fillId="0" borderId="5" xfId="7" applyFont="1" applyBorder="1" applyAlignment="1">
      <alignment vertical="center" wrapText="1"/>
    </xf>
    <xf numFmtId="165" fontId="13" fillId="0" borderId="1" xfId="9" applyNumberFormat="1" applyFont="1" applyBorder="1"/>
    <xf numFmtId="0" fontId="15" fillId="3" borderId="0" xfId="8" applyFont="1" applyFill="1"/>
    <xf numFmtId="42" fontId="15" fillId="3" borderId="0" xfId="8" applyNumberFormat="1" applyFont="1" applyFill="1"/>
    <xf numFmtId="42" fontId="15" fillId="2" borderId="0" xfId="8" applyNumberFormat="1" applyFont="1" applyFill="1"/>
    <xf numFmtId="169" fontId="15" fillId="2" borderId="0" xfId="8" applyNumberFormat="1" applyFont="1" applyFill="1"/>
    <xf numFmtId="42" fontId="13" fillId="2" borderId="0" xfId="8" applyNumberFormat="1" applyFont="1" applyFill="1"/>
    <xf numFmtId="0" fontId="15" fillId="2" borderId="0" xfId="5" applyFont="1" applyFill="1"/>
    <xf numFmtId="7" fontId="15" fillId="2" borderId="0" xfId="5" applyNumberFormat="1" applyFont="1" applyFill="1"/>
    <xf numFmtId="5" fontId="15" fillId="2" borderId="0" xfId="5" applyNumberFormat="1" applyFont="1" applyFill="1"/>
    <xf numFmtId="167" fontId="15" fillId="2" borderId="0" xfId="5" applyNumberFormat="1" applyFont="1" applyFill="1"/>
    <xf numFmtId="0" fontId="23" fillId="0" borderId="0" xfId="8" applyFont="1"/>
    <xf numFmtId="42" fontId="15" fillId="2" borderId="0" xfId="5" applyNumberFormat="1" applyFont="1" applyFill="1"/>
    <xf numFmtId="0" fontId="14" fillId="2" borderId="84" xfId="8" applyFont="1" applyFill="1" applyBorder="1"/>
    <xf numFmtId="0" fontId="15" fillId="2" borderId="111" xfId="5" applyFont="1" applyFill="1" applyBorder="1"/>
    <xf numFmtId="167" fontId="15" fillId="2" borderId="111" xfId="5" applyNumberFormat="1" applyFont="1" applyFill="1" applyBorder="1"/>
    <xf numFmtId="0" fontId="0" fillId="0" borderId="0" xfId="0" quotePrefix="1"/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112" xfId="0" applyFont="1" applyBorder="1"/>
    <xf numFmtId="0" fontId="23" fillId="0" borderId="112" xfId="0" applyFont="1" applyBorder="1" applyAlignment="1">
      <alignment horizontal="center"/>
    </xf>
    <xf numFmtId="165" fontId="23" fillId="5" borderId="0" xfId="0" applyNumberFormat="1" applyFont="1" applyFill="1"/>
    <xf numFmtId="0" fontId="0" fillId="14" borderId="0" xfId="0" applyFill="1"/>
    <xf numFmtId="165" fontId="3" fillId="2" borderId="37" xfId="1" applyNumberFormat="1" applyFont="1" applyFill="1" applyBorder="1"/>
    <xf numFmtId="165" fontId="2" fillId="2" borderId="49" xfId="1" applyNumberFormat="1" applyFont="1" applyFill="1" applyBorder="1"/>
    <xf numFmtId="41" fontId="20" fillId="0" borderId="0" xfId="0" applyNumberFormat="1" applyFont="1"/>
    <xf numFmtId="0" fontId="39" fillId="0" borderId="0" xfId="0" applyFont="1"/>
    <xf numFmtId="165" fontId="0" fillId="0" borderId="0" xfId="1" applyNumberFormat="1" applyFont="1"/>
    <xf numFmtId="0" fontId="40" fillId="7" borderId="0" xfId="0" applyFont="1" applyFill="1" applyAlignment="1">
      <alignment horizontal="center"/>
    </xf>
    <xf numFmtId="166" fontId="41" fillId="0" borderId="0" xfId="2" applyNumberFormat="1" applyFont="1" applyFill="1" applyAlignment="1">
      <alignment horizontal="center"/>
    </xf>
    <xf numFmtId="166" fontId="41" fillId="0" borderId="26" xfId="2" applyNumberFormat="1" applyFont="1" applyFill="1" applyBorder="1" applyAlignment="1">
      <alignment horizontal="center"/>
    </xf>
    <xf numFmtId="43" fontId="3" fillId="4" borderId="3" xfId="0" applyNumberFormat="1" applyFont="1" applyFill="1" applyBorder="1" applyAlignment="1">
      <alignment horizontal="center"/>
    </xf>
    <xf numFmtId="43" fontId="3" fillId="4" borderId="5" xfId="0" applyNumberFormat="1" applyFont="1" applyFill="1" applyBorder="1" applyAlignment="1">
      <alignment horizontal="center"/>
    </xf>
    <xf numFmtId="0" fontId="14" fillId="7" borderId="8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/>
    </xf>
    <xf numFmtId="0" fontId="14" fillId="7" borderId="8" xfId="8" applyFont="1" applyFill="1" applyBorder="1" applyAlignment="1">
      <alignment horizontal="center" vertical="center"/>
    </xf>
    <xf numFmtId="0" fontId="14" fillId="7" borderId="12" xfId="8" applyFont="1" applyFill="1" applyBorder="1" applyAlignment="1">
      <alignment horizontal="center" vertical="center"/>
    </xf>
    <xf numFmtId="0" fontId="14" fillId="8" borderId="0" xfId="5" applyFont="1" applyFill="1" applyAlignment="1">
      <alignment horizontal="center"/>
    </xf>
    <xf numFmtId="41" fontId="14" fillId="11" borderId="0" xfId="0" applyNumberFormat="1" applyFont="1" applyFill="1" applyAlignment="1">
      <alignment horizontal="center"/>
    </xf>
    <xf numFmtId="0" fontId="14" fillId="11" borderId="0" xfId="0" applyFont="1" applyFill="1" applyAlignment="1">
      <alignment horizontal="center"/>
    </xf>
    <xf numFmtId="5" fontId="15" fillId="7" borderId="67" xfId="7" applyNumberFormat="1" applyFont="1" applyFill="1" applyBorder="1" applyAlignment="1">
      <alignment horizontal="center" vertical="center" wrapText="1"/>
    </xf>
    <xf numFmtId="5" fontId="15" fillId="7" borderId="37" xfId="7" applyNumberFormat="1" applyFont="1" applyFill="1" applyBorder="1" applyAlignment="1">
      <alignment horizontal="center" vertical="center" wrapText="1"/>
    </xf>
  </cellXfs>
  <cellStyles count="10">
    <cellStyle name="Comma" xfId="1" builtinId="3"/>
    <cellStyle name="Comma 2" xfId="6" xr:uid="{292FC7ED-9CF9-447F-89DF-F180B4D30086}"/>
    <cellStyle name="Comma 3" xfId="9" xr:uid="{1C1F1433-2CDA-477E-A619-DD6DB699B544}"/>
    <cellStyle name="Normal" xfId="0" builtinId="0"/>
    <cellStyle name="Normal 2" xfId="4" xr:uid="{9516A526-B752-4DDE-BD7B-DD5004C0362D}"/>
    <cellStyle name="Normal 3" xfId="5" xr:uid="{996743E5-34B7-4154-80EA-BF6924F5544A}"/>
    <cellStyle name="Normal 3 2 2" xfId="7" xr:uid="{FD10D1FE-2181-49B5-9149-5EC4C04598B1}"/>
    <cellStyle name="Normal 5" xfId="8" xr:uid="{565D432A-14AD-4980-8BA0-61A70D2C1D01}"/>
    <cellStyle name="Percent" xfId="2" builtinId="5"/>
    <cellStyle name="Percent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theme" Target="theme/theme1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cat>
            <c:strRef>
              <c:f>[5]Sheet1!$W$4:$FJ$4</c:f>
              <c:strCache>
                <c:ptCount val="144"/>
                <c:pt idx="0">
                  <c:v>Jan-08</c:v>
                </c:pt>
                <c:pt idx="1">
                  <c:v>Feb-08</c:v>
                </c:pt>
                <c:pt idx="2">
                  <c:v>Mar-08</c:v>
                </c:pt>
                <c:pt idx="3">
                  <c:v>Apr-08</c:v>
                </c:pt>
                <c:pt idx="4">
                  <c:v>May-08</c:v>
                </c:pt>
                <c:pt idx="5">
                  <c:v>Jun-08</c:v>
                </c:pt>
                <c:pt idx="6">
                  <c:v>Jul-08</c:v>
                </c:pt>
                <c:pt idx="7">
                  <c:v>Aug-08</c:v>
                </c:pt>
                <c:pt idx="8">
                  <c:v>Sep-08</c:v>
                </c:pt>
                <c:pt idx="9">
                  <c:v>Oct-08</c:v>
                </c:pt>
                <c:pt idx="10">
                  <c:v>Nov-08</c:v>
                </c:pt>
                <c:pt idx="11">
                  <c:v>Dec-08</c:v>
                </c:pt>
                <c:pt idx="12">
                  <c:v>Jan-09</c:v>
                </c:pt>
                <c:pt idx="13">
                  <c:v>Feb-09</c:v>
                </c:pt>
                <c:pt idx="14">
                  <c:v>Mar-09</c:v>
                </c:pt>
                <c:pt idx="15">
                  <c:v>Apr-09</c:v>
                </c:pt>
                <c:pt idx="16">
                  <c:v>May-09</c:v>
                </c:pt>
                <c:pt idx="17">
                  <c:v>Jun-09</c:v>
                </c:pt>
                <c:pt idx="18">
                  <c:v>Jul-09</c:v>
                </c:pt>
                <c:pt idx="19">
                  <c:v>Aug-09</c:v>
                </c:pt>
                <c:pt idx="20">
                  <c:v>Sep-09</c:v>
                </c:pt>
                <c:pt idx="21">
                  <c:v>Oct-09</c:v>
                </c:pt>
                <c:pt idx="22">
                  <c:v>Nov-09</c:v>
                </c:pt>
                <c:pt idx="23">
                  <c:v>Dec-09</c:v>
                </c:pt>
                <c:pt idx="24">
                  <c:v>Jan-10</c:v>
                </c:pt>
                <c:pt idx="25">
                  <c:v>Feb-10</c:v>
                </c:pt>
                <c:pt idx="26">
                  <c:v>Mar-10</c:v>
                </c:pt>
                <c:pt idx="27">
                  <c:v>Apr-10</c:v>
                </c:pt>
                <c:pt idx="28">
                  <c:v>May-10</c:v>
                </c:pt>
                <c:pt idx="29">
                  <c:v>Jun-10</c:v>
                </c:pt>
                <c:pt idx="30">
                  <c:v>Jul-10</c:v>
                </c:pt>
                <c:pt idx="31">
                  <c:v>Aug-10</c:v>
                </c:pt>
                <c:pt idx="32">
                  <c:v>Sep-10</c:v>
                </c:pt>
                <c:pt idx="33">
                  <c:v>Oct-10</c:v>
                </c:pt>
                <c:pt idx="34">
                  <c:v>Nov-10</c:v>
                </c:pt>
                <c:pt idx="35">
                  <c:v>Dec-10</c:v>
                </c:pt>
                <c:pt idx="36">
                  <c:v>Jan-11</c:v>
                </c:pt>
                <c:pt idx="37">
                  <c:v>Feb-11</c:v>
                </c:pt>
                <c:pt idx="38">
                  <c:v>Mar-11</c:v>
                </c:pt>
                <c:pt idx="39">
                  <c:v>Apr-11</c:v>
                </c:pt>
                <c:pt idx="40">
                  <c:v>May-11</c:v>
                </c:pt>
                <c:pt idx="41">
                  <c:v>Jun-11</c:v>
                </c:pt>
                <c:pt idx="42">
                  <c:v>Jul-11</c:v>
                </c:pt>
                <c:pt idx="43">
                  <c:v>Aug-11</c:v>
                </c:pt>
                <c:pt idx="44">
                  <c:v>Sep-11</c:v>
                </c:pt>
                <c:pt idx="45">
                  <c:v>Oct-11</c:v>
                </c:pt>
                <c:pt idx="46">
                  <c:v>Nov-11</c:v>
                </c:pt>
                <c:pt idx="47">
                  <c:v>Dec-11</c:v>
                </c:pt>
                <c:pt idx="48">
                  <c:v>Jan-12</c:v>
                </c:pt>
                <c:pt idx="49">
                  <c:v>Feb-12</c:v>
                </c:pt>
                <c:pt idx="50">
                  <c:v>Mar-12</c:v>
                </c:pt>
                <c:pt idx="51">
                  <c:v>Apr-12</c:v>
                </c:pt>
                <c:pt idx="52">
                  <c:v>May-12</c:v>
                </c:pt>
                <c:pt idx="53">
                  <c:v>Jun-12</c:v>
                </c:pt>
                <c:pt idx="54">
                  <c:v>Jul-12</c:v>
                </c:pt>
                <c:pt idx="55">
                  <c:v>Aug-12</c:v>
                </c:pt>
                <c:pt idx="56">
                  <c:v>Sep-12</c:v>
                </c:pt>
                <c:pt idx="57">
                  <c:v>Oct-12</c:v>
                </c:pt>
                <c:pt idx="58">
                  <c:v>Nov-12</c:v>
                </c:pt>
                <c:pt idx="59">
                  <c:v>Dec-12</c:v>
                </c:pt>
                <c:pt idx="60">
                  <c:v>Jan-13</c:v>
                </c:pt>
                <c:pt idx="61">
                  <c:v>Feb-13</c:v>
                </c:pt>
                <c:pt idx="62">
                  <c:v>Mar-13</c:v>
                </c:pt>
                <c:pt idx="63">
                  <c:v>Apr-13</c:v>
                </c:pt>
                <c:pt idx="64">
                  <c:v>May-13</c:v>
                </c:pt>
                <c:pt idx="65">
                  <c:v>Jun-13</c:v>
                </c:pt>
                <c:pt idx="66">
                  <c:v>Jul-13</c:v>
                </c:pt>
                <c:pt idx="67">
                  <c:v>Aug-13</c:v>
                </c:pt>
                <c:pt idx="68">
                  <c:v>Sep-13</c:v>
                </c:pt>
                <c:pt idx="69">
                  <c:v>Oct-13</c:v>
                </c:pt>
                <c:pt idx="70">
                  <c:v>Nov-13</c:v>
                </c:pt>
                <c:pt idx="71">
                  <c:v>Dec-13</c:v>
                </c:pt>
                <c:pt idx="72">
                  <c:v>Jaqn-14</c:v>
                </c:pt>
                <c:pt idx="73">
                  <c:v>Feb-14</c:v>
                </c:pt>
                <c:pt idx="74">
                  <c:v>Mar-14</c:v>
                </c:pt>
                <c:pt idx="75">
                  <c:v>Apr-14</c:v>
                </c:pt>
                <c:pt idx="76">
                  <c:v>May-14</c:v>
                </c:pt>
                <c:pt idx="77">
                  <c:v>Jun-14</c:v>
                </c:pt>
                <c:pt idx="78">
                  <c:v>Jul-14</c:v>
                </c:pt>
                <c:pt idx="79">
                  <c:v>Aug-14</c:v>
                </c:pt>
                <c:pt idx="80">
                  <c:v>Sep-14</c:v>
                </c:pt>
                <c:pt idx="81">
                  <c:v>Oct-14</c:v>
                </c:pt>
                <c:pt idx="82">
                  <c:v>Nov-14</c:v>
                </c:pt>
                <c:pt idx="83">
                  <c:v>Dec-14</c:v>
                </c:pt>
                <c:pt idx="84">
                  <c:v>Jan-15</c:v>
                </c:pt>
                <c:pt idx="85">
                  <c:v>Feb-15</c:v>
                </c:pt>
                <c:pt idx="86">
                  <c:v>Mar-15</c:v>
                </c:pt>
                <c:pt idx="87">
                  <c:v>Apr-15</c:v>
                </c:pt>
                <c:pt idx="88">
                  <c:v>May-15</c:v>
                </c:pt>
                <c:pt idx="89">
                  <c:v>Jun-15</c:v>
                </c:pt>
                <c:pt idx="90">
                  <c:v>Jul-15</c:v>
                </c:pt>
                <c:pt idx="91">
                  <c:v>Aug-15</c:v>
                </c:pt>
                <c:pt idx="92">
                  <c:v>Sep-15</c:v>
                </c:pt>
                <c:pt idx="93">
                  <c:v>Oct-15</c:v>
                </c:pt>
                <c:pt idx="94">
                  <c:v>Nov-15</c:v>
                </c:pt>
                <c:pt idx="95">
                  <c:v>Dec-15</c:v>
                </c:pt>
                <c:pt idx="96">
                  <c:v>Jan-16</c:v>
                </c:pt>
                <c:pt idx="97">
                  <c:v>Feb-16</c:v>
                </c:pt>
                <c:pt idx="98">
                  <c:v>Mar-16</c:v>
                </c:pt>
                <c:pt idx="99">
                  <c:v>Apr-16</c:v>
                </c:pt>
                <c:pt idx="100">
                  <c:v>May-16</c:v>
                </c:pt>
                <c:pt idx="101">
                  <c:v>Jun-16</c:v>
                </c:pt>
                <c:pt idx="102">
                  <c:v>Jul-16</c:v>
                </c:pt>
                <c:pt idx="103">
                  <c:v>Aug-16</c:v>
                </c:pt>
                <c:pt idx="104">
                  <c:v>Sep-16</c:v>
                </c:pt>
                <c:pt idx="105">
                  <c:v>Oct-16</c:v>
                </c:pt>
                <c:pt idx="106">
                  <c:v>Nov-16</c:v>
                </c:pt>
                <c:pt idx="107">
                  <c:v>Dec-16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</c:strCache>
            </c:strRef>
          </c:cat>
          <c:val>
            <c:numRef>
              <c:f>[5]Sheet1!$W$5:$FJ$5</c:f>
              <c:numCache>
                <c:formatCode>General</c:formatCode>
                <c:ptCount val="144"/>
                <c:pt idx="0">
                  <c:v>0.1346</c:v>
                </c:pt>
                <c:pt idx="1">
                  <c:v>0.17730000000000001</c:v>
                </c:pt>
                <c:pt idx="2">
                  <c:v>0.18229999999999999</c:v>
                </c:pt>
                <c:pt idx="3">
                  <c:v>0.18160000000000001</c:v>
                </c:pt>
                <c:pt idx="4">
                  <c:v>0.18709999999999999</c:v>
                </c:pt>
                <c:pt idx="5">
                  <c:v>0.2414</c:v>
                </c:pt>
                <c:pt idx="6">
                  <c:v>0.24940000000000001</c:v>
                </c:pt>
                <c:pt idx="7">
                  <c:v>0.28460000000000002</c:v>
                </c:pt>
                <c:pt idx="8">
                  <c:v>0.28062999999999999</c:v>
                </c:pt>
                <c:pt idx="9">
                  <c:v>0.29099999999999998</c:v>
                </c:pt>
                <c:pt idx="10">
                  <c:v>0.26779999999999998</c:v>
                </c:pt>
                <c:pt idx="11">
                  <c:v>0.23519999999999999</c:v>
                </c:pt>
                <c:pt idx="12">
                  <c:v>0.23519999999999999</c:v>
                </c:pt>
                <c:pt idx="13">
                  <c:v>0.1608</c:v>
                </c:pt>
                <c:pt idx="14">
                  <c:v>0.1138</c:v>
                </c:pt>
                <c:pt idx="15">
                  <c:v>9.0120000000000006E-2</c:v>
                </c:pt>
                <c:pt idx="16">
                  <c:v>8.9099999999999999E-2</c:v>
                </c:pt>
                <c:pt idx="17">
                  <c:v>8.6599999999999996E-2</c:v>
                </c:pt>
                <c:pt idx="18">
                  <c:v>8.8156999999999999E-2</c:v>
                </c:pt>
                <c:pt idx="19">
                  <c:v>8.8156999999999999E-2</c:v>
                </c:pt>
                <c:pt idx="20">
                  <c:v>0.12819900000000001</c:v>
                </c:pt>
                <c:pt idx="21">
                  <c:v>0.14682300000000001</c:v>
                </c:pt>
                <c:pt idx="22">
                  <c:v>0.13339200000000001</c:v>
                </c:pt>
                <c:pt idx="23">
                  <c:v>0.13339200000000001</c:v>
                </c:pt>
                <c:pt idx="24">
                  <c:v>0.151146</c:v>
                </c:pt>
                <c:pt idx="25">
                  <c:v>0.14732500000000001</c:v>
                </c:pt>
                <c:pt idx="26">
                  <c:v>0.14923600000000001</c:v>
                </c:pt>
                <c:pt idx="27">
                  <c:v>0.14553199999999999</c:v>
                </c:pt>
                <c:pt idx="28">
                  <c:v>0.14790600000000001</c:v>
                </c:pt>
                <c:pt idx="29">
                  <c:v>0.15458</c:v>
                </c:pt>
                <c:pt idx="30">
                  <c:v>0.15668000000000001</c:v>
                </c:pt>
                <c:pt idx="31">
                  <c:v>0.14949999999999999</c:v>
                </c:pt>
                <c:pt idx="32">
                  <c:v>0.14549999999999999</c:v>
                </c:pt>
                <c:pt idx="33">
                  <c:v>0.14549999999999999</c:v>
                </c:pt>
                <c:pt idx="34">
                  <c:v>0.14835300000000001</c:v>
                </c:pt>
                <c:pt idx="35">
                  <c:v>0.16592000000000001</c:v>
                </c:pt>
                <c:pt idx="36">
                  <c:v>0.17061000000000001</c:v>
                </c:pt>
                <c:pt idx="37">
                  <c:v>0.17788999999999999</c:v>
                </c:pt>
                <c:pt idx="38">
                  <c:v>0.1913</c:v>
                </c:pt>
                <c:pt idx="39">
                  <c:v>0.20300000000000001</c:v>
                </c:pt>
                <c:pt idx="40">
                  <c:v>0.22600000000000001</c:v>
                </c:pt>
                <c:pt idx="41">
                  <c:v>0.24249999999999999</c:v>
                </c:pt>
                <c:pt idx="42">
                  <c:v>0.2366</c:v>
                </c:pt>
                <c:pt idx="43">
                  <c:v>0.24510000000000001</c:v>
                </c:pt>
                <c:pt idx="44">
                  <c:v>0.24099999999999999</c:v>
                </c:pt>
                <c:pt idx="45">
                  <c:v>0.22650000000000001</c:v>
                </c:pt>
                <c:pt idx="46">
                  <c:v>0.23119999999999999</c:v>
                </c:pt>
                <c:pt idx="47">
                  <c:v>0.23219999999999999</c:v>
                </c:pt>
                <c:pt idx="48">
                  <c:v>0.24540000000000001</c:v>
                </c:pt>
                <c:pt idx="49">
                  <c:v>0.24349999999999999</c:v>
                </c:pt>
                <c:pt idx="50">
                  <c:v>0.24540000000000001</c:v>
                </c:pt>
                <c:pt idx="51">
                  <c:v>0.25309999999999999</c:v>
                </c:pt>
                <c:pt idx="52">
                  <c:v>0.25900000000000001</c:v>
                </c:pt>
                <c:pt idx="53">
                  <c:v>0.26129999999999998</c:v>
                </c:pt>
                <c:pt idx="54">
                  <c:v>0.25619999999999998</c:v>
                </c:pt>
                <c:pt idx="55">
                  <c:v>0.23530000000000001</c:v>
                </c:pt>
                <c:pt idx="56">
                  <c:v>0.21160000000000001</c:v>
                </c:pt>
                <c:pt idx="57">
                  <c:v>0.2296</c:v>
                </c:pt>
                <c:pt idx="58">
                  <c:v>0.2447</c:v>
                </c:pt>
                <c:pt idx="59">
                  <c:v>0.25230000000000002</c:v>
                </c:pt>
                <c:pt idx="60">
                  <c:v>0.25259999999999999</c:v>
                </c:pt>
                <c:pt idx="61">
                  <c:v>0.25119999999999998</c:v>
                </c:pt>
                <c:pt idx="62">
                  <c:v>0.24909999999999999</c:v>
                </c:pt>
                <c:pt idx="63">
                  <c:v>0.26200000000000001</c:v>
                </c:pt>
                <c:pt idx="64">
                  <c:v>0.2485</c:v>
                </c:pt>
                <c:pt idx="65">
                  <c:v>0.2351</c:v>
                </c:pt>
                <c:pt idx="66">
                  <c:v>0.22800000000000001</c:v>
                </c:pt>
                <c:pt idx="67">
                  <c:v>0.21729999999999999</c:v>
                </c:pt>
                <c:pt idx="68">
                  <c:v>0.2276</c:v>
                </c:pt>
                <c:pt idx="69">
                  <c:v>0.22989999999999999</c:v>
                </c:pt>
                <c:pt idx="70">
                  <c:v>0.23519999999999999</c:v>
                </c:pt>
                <c:pt idx="71">
                  <c:v>0.24160000000000001</c:v>
                </c:pt>
                <c:pt idx="72">
                  <c:v>0.23100000000000001</c:v>
                </c:pt>
                <c:pt idx="73">
                  <c:v>0.24010000000000001</c:v>
                </c:pt>
                <c:pt idx="74">
                  <c:v>0.2402</c:v>
                </c:pt>
                <c:pt idx="75">
                  <c:v>0.23719999999999999</c:v>
                </c:pt>
                <c:pt idx="76">
                  <c:v>0.24160000000000001</c:v>
                </c:pt>
                <c:pt idx="77">
                  <c:v>0.23830000000000001</c:v>
                </c:pt>
                <c:pt idx="78">
                  <c:v>0.2384</c:v>
                </c:pt>
                <c:pt idx="79">
                  <c:v>0.24010000000000001</c:v>
                </c:pt>
                <c:pt idx="80">
                  <c:v>0.2447</c:v>
                </c:pt>
                <c:pt idx="81">
                  <c:v>0.2366</c:v>
                </c:pt>
                <c:pt idx="82">
                  <c:v>0.23050000000000001</c:v>
                </c:pt>
                <c:pt idx="83">
                  <c:v>0.2203</c:v>
                </c:pt>
                <c:pt idx="84">
                  <c:v>0.20910000000000001</c:v>
                </c:pt>
                <c:pt idx="85">
                  <c:v>0.19800000000000001</c:v>
                </c:pt>
                <c:pt idx="86">
                  <c:v>0.15659999999999999</c:v>
                </c:pt>
                <c:pt idx="87">
                  <c:v>0.1396</c:v>
                </c:pt>
                <c:pt idx="88">
                  <c:v>0.1298</c:v>
                </c:pt>
                <c:pt idx="89">
                  <c:v>0.1321</c:v>
                </c:pt>
                <c:pt idx="90">
                  <c:v>0.1389</c:v>
                </c:pt>
                <c:pt idx="91">
                  <c:v>0.14960000000000001</c:v>
                </c:pt>
                <c:pt idx="92">
                  <c:v>0.14119999999999999</c:v>
                </c:pt>
                <c:pt idx="93">
                  <c:v>0.13639999999999999</c:v>
                </c:pt>
                <c:pt idx="94">
                  <c:v>0.13109999999999999</c:v>
                </c:pt>
                <c:pt idx="95">
                  <c:v>0.11600000000000001</c:v>
                </c:pt>
                <c:pt idx="96">
                  <c:v>9.9900000000000003E-2</c:v>
                </c:pt>
                <c:pt idx="97">
                  <c:v>9.3899999999999997E-2</c:v>
                </c:pt>
                <c:pt idx="98">
                  <c:v>8.9700000000000002E-2</c:v>
                </c:pt>
                <c:pt idx="99">
                  <c:v>7.8799999999999995E-2</c:v>
                </c:pt>
                <c:pt idx="100">
                  <c:v>6.6100000000000006E-2</c:v>
                </c:pt>
                <c:pt idx="101">
                  <c:v>6.4699999999999994E-2</c:v>
                </c:pt>
                <c:pt idx="102">
                  <c:v>7.8399999999999997E-2</c:v>
                </c:pt>
                <c:pt idx="103">
                  <c:v>8.9499999999999996E-2</c:v>
                </c:pt>
                <c:pt idx="104">
                  <c:v>9.7299999999999998E-2</c:v>
                </c:pt>
                <c:pt idx="105">
                  <c:v>8.7599999999999997E-2</c:v>
                </c:pt>
                <c:pt idx="106">
                  <c:v>8.5699999999999998E-2</c:v>
                </c:pt>
                <c:pt idx="107">
                  <c:v>9.1300000000000006E-2</c:v>
                </c:pt>
                <c:pt idx="108">
                  <c:v>9.4399999999999998E-2</c:v>
                </c:pt>
                <c:pt idx="109">
                  <c:v>0.10680000000000001</c:v>
                </c:pt>
                <c:pt idx="110">
                  <c:v>0.1004</c:v>
                </c:pt>
                <c:pt idx="111">
                  <c:v>0.1079</c:v>
                </c:pt>
                <c:pt idx="112">
                  <c:v>0.1168</c:v>
                </c:pt>
                <c:pt idx="113">
                  <c:v>0.12540000000000001</c:v>
                </c:pt>
                <c:pt idx="114">
                  <c:v>0.1129</c:v>
                </c:pt>
                <c:pt idx="115">
                  <c:v>0.10059999999999999</c:v>
                </c:pt>
                <c:pt idx="116">
                  <c:v>9.4299999999999995E-2</c:v>
                </c:pt>
                <c:pt idx="117">
                  <c:v>0.1052</c:v>
                </c:pt>
                <c:pt idx="118">
                  <c:v>0.10680000000000001</c:v>
                </c:pt>
                <c:pt idx="119">
                  <c:v>0.11360000000000001</c:v>
                </c:pt>
                <c:pt idx="120">
                  <c:v>0.1148</c:v>
                </c:pt>
                <c:pt idx="121">
                  <c:v>0.1275</c:v>
                </c:pt>
                <c:pt idx="122">
                  <c:v>0.13980000000000001</c:v>
                </c:pt>
                <c:pt idx="123">
                  <c:v>0.14119999999999999</c:v>
                </c:pt>
                <c:pt idx="124">
                  <c:v>0.14330000000000001</c:v>
                </c:pt>
                <c:pt idx="125">
                  <c:v>0.15110000000000001</c:v>
                </c:pt>
                <c:pt idx="126">
                  <c:v>0.1633</c:v>
                </c:pt>
                <c:pt idx="127">
                  <c:v>0.16550000000000001</c:v>
                </c:pt>
                <c:pt idx="128">
                  <c:v>0.1613</c:v>
                </c:pt>
                <c:pt idx="129">
                  <c:v>0.15809999999999999</c:v>
                </c:pt>
                <c:pt idx="130">
                  <c:v>0.16039999999999999</c:v>
                </c:pt>
                <c:pt idx="131">
                  <c:v>0.16869999999999999</c:v>
                </c:pt>
                <c:pt idx="132">
                  <c:v>0.17699999999999999</c:v>
                </c:pt>
                <c:pt idx="133">
                  <c:v>0.16520000000000001</c:v>
                </c:pt>
                <c:pt idx="134">
                  <c:v>0.1515</c:v>
                </c:pt>
                <c:pt idx="135">
                  <c:v>0.13300000000000001</c:v>
                </c:pt>
                <c:pt idx="136">
                  <c:v>0.1366</c:v>
                </c:pt>
                <c:pt idx="137">
                  <c:v>0.1467</c:v>
                </c:pt>
                <c:pt idx="138">
                  <c:v>0.15060000000000001</c:v>
                </c:pt>
                <c:pt idx="139">
                  <c:v>0.14929999999999999</c:v>
                </c:pt>
                <c:pt idx="140">
                  <c:v>0.14760000000000001</c:v>
                </c:pt>
                <c:pt idx="141">
                  <c:v>0.13830000000000001</c:v>
                </c:pt>
                <c:pt idx="142">
                  <c:v>0.12870000000000001</c:v>
                </c:pt>
                <c:pt idx="143">
                  <c:v>0.13669999999999999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F-40F0-9922-61EE7E6AC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68911"/>
        <c:axId val="1"/>
      </c:lineChart>
      <c:catAx>
        <c:axId val="1071168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71168911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567690</xdr:colOff>
      <xdr:row>25</xdr:row>
      <xdr:rowOff>34290</xdr:rowOff>
    </xdr:from>
    <xdr:to>
      <xdr:col>19</xdr:col>
      <xdr:colOff>662940</xdr:colOff>
      <xdr:row>25</xdr:row>
      <xdr:rowOff>112184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007840" y="3653790"/>
          <a:ext cx="95250" cy="7789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17</xdr:col>
      <xdr:colOff>441960</xdr:colOff>
      <xdr:row>25</xdr:row>
      <xdr:rowOff>28575</xdr:rowOff>
    </xdr:from>
    <xdr:to>
      <xdr:col>17</xdr:col>
      <xdr:colOff>531767</xdr:colOff>
      <xdr:row>25</xdr:row>
      <xdr:rowOff>94756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053310" y="3648075"/>
          <a:ext cx="89807" cy="6618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480060</xdr:colOff>
      <xdr:row>6</xdr:row>
      <xdr:rowOff>106680</xdr:rowOff>
    </xdr:from>
    <xdr:to>
      <xdr:col>4</xdr:col>
      <xdr:colOff>502920</xdr:colOff>
      <xdr:row>31</xdr:row>
      <xdr:rowOff>83820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764C6FC-9BE4-F978-434F-ADF9A5660C0D}"/>
            </a:ext>
          </a:extLst>
        </xdr:cNvPr>
        <xdr:cNvCxnSpPr/>
      </xdr:nvCxnSpPr>
      <xdr:spPr>
        <a:xfrm>
          <a:off x="6233160" y="1211580"/>
          <a:ext cx="22860" cy="4480560"/>
        </a:xfrm>
        <a:prstGeom prst="line">
          <a:avLst/>
        </a:prstGeom>
        <a:ln w="25400">
          <a:solidFill>
            <a:schemeClr val="accent1">
              <a:alpha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464820</xdr:colOff>
      <xdr:row>6</xdr:row>
      <xdr:rowOff>99060</xdr:rowOff>
    </xdr:from>
    <xdr:to>
      <xdr:col>4</xdr:col>
      <xdr:colOff>487680</xdr:colOff>
      <xdr:row>6</xdr:row>
      <xdr:rowOff>99060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2A815F00-635C-F348-B7A1-BC9BF520B901}"/>
            </a:ext>
          </a:extLst>
        </xdr:cNvPr>
        <xdr:cNvCxnSpPr/>
      </xdr:nvCxnSpPr>
      <xdr:spPr>
        <a:xfrm flipH="1">
          <a:off x="5417820" y="1203960"/>
          <a:ext cx="822960" cy="0"/>
        </a:xfrm>
        <a:prstGeom prst="straightConnector1">
          <a:avLst/>
        </a:prstGeom>
        <a:ln w="25400">
          <a:solidFill>
            <a:schemeClr val="accent1">
              <a:alpha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76200</xdr:colOff>
      <xdr:row>31</xdr:row>
      <xdr:rowOff>91440</xdr:rowOff>
    </xdr:from>
    <xdr:to>
      <xdr:col>4</xdr:col>
      <xdr:colOff>525780</xdr:colOff>
      <xdr:row>31</xdr:row>
      <xdr:rowOff>99060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723989ED-F82C-4C5C-9F0A-F4CE0BA61D50}"/>
            </a:ext>
          </a:extLst>
        </xdr:cNvPr>
        <xdr:cNvCxnSpPr/>
      </xdr:nvCxnSpPr>
      <xdr:spPr>
        <a:xfrm flipH="1" flipV="1">
          <a:off x="5829300" y="5699760"/>
          <a:ext cx="449580" cy="7620"/>
        </a:xfrm>
        <a:prstGeom prst="straightConnector1">
          <a:avLst/>
        </a:prstGeom>
        <a:ln w="25400">
          <a:solidFill>
            <a:schemeClr val="accent1">
              <a:alpha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350520</xdr:colOff>
      <xdr:row>6</xdr:row>
      <xdr:rowOff>106680</xdr:rowOff>
    </xdr:from>
    <xdr:to>
      <xdr:col>4</xdr:col>
      <xdr:colOff>358140</xdr:colOff>
      <xdr:row>27</xdr:row>
      <xdr:rowOff>91440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5E12620-A378-432D-82F7-F01BE9995E18}"/>
            </a:ext>
          </a:extLst>
        </xdr:cNvPr>
        <xdr:cNvCxnSpPr/>
      </xdr:nvCxnSpPr>
      <xdr:spPr>
        <a:xfrm>
          <a:off x="6103620" y="1211580"/>
          <a:ext cx="7620" cy="3825240"/>
        </a:xfrm>
        <a:prstGeom prst="line">
          <a:avLst/>
        </a:prstGeom>
        <a:ln w="25400">
          <a:solidFill>
            <a:schemeClr val="accent1">
              <a:alpha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327660</xdr:colOff>
      <xdr:row>6</xdr:row>
      <xdr:rowOff>106680</xdr:rowOff>
    </xdr:from>
    <xdr:to>
      <xdr:col>4</xdr:col>
      <xdr:colOff>350520</xdr:colOff>
      <xdr:row>6</xdr:row>
      <xdr:rowOff>106680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87423B7-7DE9-4D7D-A305-DB9C95FDC85C}"/>
            </a:ext>
          </a:extLst>
        </xdr:cNvPr>
        <xdr:cNvCxnSpPr/>
      </xdr:nvCxnSpPr>
      <xdr:spPr>
        <a:xfrm flipH="1">
          <a:off x="5280660" y="1211580"/>
          <a:ext cx="822960" cy="0"/>
        </a:xfrm>
        <a:prstGeom prst="straightConnector1">
          <a:avLst/>
        </a:prstGeom>
        <a:ln w="25400">
          <a:solidFill>
            <a:schemeClr val="accent1">
              <a:alpha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45720</xdr:colOff>
      <xdr:row>27</xdr:row>
      <xdr:rowOff>106680</xdr:rowOff>
    </xdr:from>
    <xdr:to>
      <xdr:col>4</xdr:col>
      <xdr:colOff>365760</xdr:colOff>
      <xdr:row>27</xdr:row>
      <xdr:rowOff>106680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E68ACC8F-F9A5-415B-9195-1431BB4D3B85}"/>
            </a:ext>
          </a:extLst>
        </xdr:cNvPr>
        <xdr:cNvCxnSpPr/>
      </xdr:nvCxnSpPr>
      <xdr:spPr>
        <a:xfrm flipH="1">
          <a:off x="5798820" y="5052060"/>
          <a:ext cx="320040" cy="0"/>
        </a:xfrm>
        <a:prstGeom prst="straightConnector1">
          <a:avLst/>
        </a:prstGeom>
        <a:ln w="25400">
          <a:solidFill>
            <a:schemeClr val="accent1">
              <a:alpha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41</xdr:row>
      <xdr:rowOff>133350</xdr:rowOff>
    </xdr:from>
    <xdr:to>
      <xdr:col>15</xdr:col>
      <xdr:colOff>523875</xdr:colOff>
      <xdr:row>58</xdr:row>
      <xdr:rowOff>47625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857FD54-C39E-4373-A94E-28C2F00F7D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ewitt\Documents\Strata%20-%202024\Strata%20Budget%202024%20-%20Final%20Approved\Budget%20Strata%20-%202024%20Income%20Statement%20-%20FInal%20(Approved).xls" TargetMode="External"/><Relationship Id="rId1" Type="http://schemas.openxmlformats.org/officeDocument/2006/relationships/externalLinkPath" Target="/Users/Thewitt/Documents/Strata%20-%202024/Strata%20Budget%202024%20-%20Final%20Approved/Budget%20Strata%20-%202024%20Income%20Statement%20-%20FInal%20(Approved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obson/Desktop/Budget%202021/2021%20Strata%20Plan%20%2350%202%25%20Contingency%20TM%20Notes%20for%20meeting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ccounts\Private\rhondi%20desktop\Entries%20Home\FY%202023\12%20December%202023%20Strata\12%20December%202023%20Strata\Executive%20Reports\Reserves%20by%20Project%20December%202023.xls" TargetMode="External"/><Relationship Id="rId1" Type="http://schemas.openxmlformats.org/officeDocument/2006/relationships/externalLinkPath" Target="file:///Z:\Accounts\Private\rhondi%20desktop\Entries%20Home\FY%202023\12%20December%202023%20Strata\12%20December%202023%20Strata\Executive%20Reports\Reserves%20by%20Project%20December%20202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ccounts\Private\rhondi%20desktop\Entries%20Home\FY%202024\03%20-%20March%202024%20Strata\Executive%20Report\Reserved%20by%20Project%20-%20Mar%202024.xlsx" TargetMode="External"/><Relationship Id="rId1" Type="http://schemas.openxmlformats.org/officeDocument/2006/relationships/externalLinkPath" Target="file:///Z:\Accounts\Private\rhondi%20desktop\Entries%20Home\FY%202024\03%20-%20March%202024%20Strata\Executive%20Report\Reserved%20by%20Project%20-%20Mar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hobson\AppData\Local\Microsoft\Windows\INetCache\Content.Outlook\6IG2RN0Q\Fuel%20factor%20trend%202023.xls" TargetMode="External"/><Relationship Id="rId1" Type="http://schemas.openxmlformats.org/officeDocument/2006/relationships/externalLinkPath" Target="/Users/rhobson/AppData/Local/Microsoft/Windows/INetCache/Content.Outlook/6IG2RN0Q/Fuel%20factor%20trend%202023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hobson\Desktop\Budget%202022\Strata%20%23%2050%202023%20Budget%20.xlsx" TargetMode="External"/><Relationship Id="rId1" Type="http://schemas.openxmlformats.org/officeDocument/2006/relationships/externalLinkPath" Target="/Users/rhobson/Desktop/Budget%202022/Strata%20%23%2050%202023%20Budget%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ewitt/Documents/Strata%20-%202024/Strata%20Budget%202024%20-%20Final%20Approved/Strata%20%23%2050%202024%20Budget%20Board%20presentation%20-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come Statement"/>
      <sheetName val="Comments "/>
      <sheetName val="Capital &amp; Major budget 2024"/>
      <sheetName val="Flow 2024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 2019"/>
      <sheetName val=" 2021 budget"/>
      <sheetName val="Cable"/>
      <sheetName val="Assumptions"/>
      <sheetName val="Security staff"/>
      <sheetName val="Security Services"/>
      <sheetName val="Insurance"/>
      <sheetName val="Gym"/>
      <sheetName val="Eng and Gds"/>
      <sheetName val="Pool &amp; Beach"/>
      <sheetName val="Work Permits"/>
      <sheetName val="Summary of 2018 work orders"/>
      <sheetName val="BUD 2016"/>
    </sheetNames>
    <sheetDataSet>
      <sheetData sheetId="0">
        <row r="34">
          <cell r="Q34">
            <v>-193608</v>
          </cell>
        </row>
        <row r="35">
          <cell r="Q35">
            <v>-322680</v>
          </cell>
        </row>
        <row r="36">
          <cell r="Q36">
            <v>516288</v>
          </cell>
        </row>
        <row r="51">
          <cell r="Q51">
            <v>0</v>
          </cell>
        </row>
        <row r="57">
          <cell r="Q57">
            <v>0</v>
          </cell>
        </row>
        <row r="70">
          <cell r="Q70">
            <v>0</v>
          </cell>
        </row>
        <row r="77">
          <cell r="Q77">
            <v>1860</v>
          </cell>
        </row>
        <row r="85">
          <cell r="Q85">
            <v>0</v>
          </cell>
        </row>
        <row r="86">
          <cell r="Q86">
            <v>4800</v>
          </cell>
        </row>
        <row r="116">
          <cell r="Q116">
            <v>0</v>
          </cell>
        </row>
        <row r="184">
          <cell r="Q184">
            <v>4500</v>
          </cell>
        </row>
        <row r="188">
          <cell r="Q188">
            <v>8500</v>
          </cell>
        </row>
      </sheetData>
      <sheetData sheetId="1"/>
      <sheetData sheetId="2"/>
      <sheetData sheetId="3">
        <row r="169">
          <cell r="H169">
            <v>0</v>
          </cell>
        </row>
        <row r="192">
          <cell r="H192">
            <v>-193608</v>
          </cell>
        </row>
        <row r="193">
          <cell r="H193">
            <v>-322680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ITAL 2023 BUDGET"/>
      <sheetName val="MAJOR 2023 BUDGET"/>
      <sheetName val="FLOW--2023"/>
    </sheetNames>
    <sheetDataSet>
      <sheetData sheetId="0">
        <row r="26">
          <cell r="G26">
            <v>151797.29000000004</v>
          </cell>
          <cell r="I26">
            <v>0</v>
          </cell>
        </row>
      </sheetData>
      <sheetData sheetId="1">
        <row r="15">
          <cell r="G15">
            <v>148276.264</v>
          </cell>
          <cell r="I15">
            <v>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ITAL 2024 BUDGET"/>
      <sheetName val="MAJOR 2024 BUDGET"/>
      <sheetName val="Flow 2024"/>
    </sheetNames>
    <sheetDataSet>
      <sheetData sheetId="0">
        <row r="30">
          <cell r="G30">
            <v>-16124.029999999999</v>
          </cell>
          <cell r="I30">
            <v>238424.03</v>
          </cell>
        </row>
      </sheetData>
      <sheetData sheetId="1">
        <row r="16">
          <cell r="G16">
            <v>21544</v>
          </cell>
          <cell r="I16">
            <v>310956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4">
          <cell r="W4" t="str">
            <v>Jan-08</v>
          </cell>
          <cell r="X4" t="str">
            <v>Feb-08</v>
          </cell>
          <cell r="Y4" t="str">
            <v>Mar-08</v>
          </cell>
          <cell r="Z4" t="str">
            <v>Apr-08</v>
          </cell>
          <cell r="AA4" t="str">
            <v>May-08</v>
          </cell>
          <cell r="AB4" t="str">
            <v>Jun-08</v>
          </cell>
          <cell r="AC4" t="str">
            <v>Jul-08</v>
          </cell>
          <cell r="AD4" t="str">
            <v>Aug-08</v>
          </cell>
          <cell r="AE4" t="str">
            <v>Sep-08</v>
          </cell>
          <cell r="AF4" t="str">
            <v>Oct-08</v>
          </cell>
          <cell r="AG4" t="str">
            <v>Nov-08</v>
          </cell>
          <cell r="AH4" t="str">
            <v>Dec-08</v>
          </cell>
          <cell r="AI4" t="str">
            <v>Jan-09</v>
          </cell>
          <cell r="AJ4" t="str">
            <v>Feb-09</v>
          </cell>
          <cell r="AK4" t="str">
            <v>Mar-09</v>
          </cell>
          <cell r="AL4" t="str">
            <v>Apr-09</v>
          </cell>
          <cell r="AM4" t="str">
            <v>May-09</v>
          </cell>
          <cell r="AN4" t="str">
            <v>Jun-09</v>
          </cell>
          <cell r="AO4" t="str">
            <v>Jul-09</v>
          </cell>
          <cell r="AP4" t="str">
            <v>Aug-09</v>
          </cell>
          <cell r="AQ4" t="str">
            <v>Sep-09</v>
          </cell>
          <cell r="AR4" t="str">
            <v>Oct-09</v>
          </cell>
          <cell r="AS4" t="str">
            <v>Nov-09</v>
          </cell>
          <cell r="AT4" t="str">
            <v>Dec-09</v>
          </cell>
          <cell r="AU4" t="str">
            <v>Jan-10</v>
          </cell>
          <cell r="AV4" t="str">
            <v>Feb-10</v>
          </cell>
          <cell r="AW4" t="str">
            <v>Mar-10</v>
          </cell>
          <cell r="AX4" t="str">
            <v>Apr-10</v>
          </cell>
          <cell r="AY4" t="str">
            <v>May-10</v>
          </cell>
          <cell r="AZ4" t="str">
            <v>Jun-10</v>
          </cell>
          <cell r="BA4" t="str">
            <v>Jul-10</v>
          </cell>
          <cell r="BB4" t="str">
            <v>Aug-10</v>
          </cell>
          <cell r="BC4" t="str">
            <v>Sep-10</v>
          </cell>
          <cell r="BD4" t="str">
            <v>Oct-10</v>
          </cell>
          <cell r="BE4" t="str">
            <v>Nov-10</v>
          </cell>
          <cell r="BF4" t="str">
            <v>Dec-10</v>
          </cell>
          <cell r="BG4" t="str">
            <v>Jan-11</v>
          </cell>
          <cell r="BH4" t="str">
            <v>Feb-11</v>
          </cell>
          <cell r="BI4" t="str">
            <v>Mar-11</v>
          </cell>
          <cell r="BJ4" t="str">
            <v>Apr-11</v>
          </cell>
          <cell r="BK4" t="str">
            <v>May-11</v>
          </cell>
          <cell r="BL4" t="str">
            <v>Jun-11</v>
          </cell>
          <cell r="BM4" t="str">
            <v>Jul-11</v>
          </cell>
          <cell r="BN4" t="str">
            <v>Aug-11</v>
          </cell>
          <cell r="BO4" t="str">
            <v>Sep-11</v>
          </cell>
          <cell r="BP4" t="str">
            <v>Oct-11</v>
          </cell>
          <cell r="BQ4" t="str">
            <v>Nov-11</v>
          </cell>
          <cell r="BR4" t="str">
            <v>Dec-11</v>
          </cell>
          <cell r="BS4" t="str">
            <v>Jan-12</v>
          </cell>
          <cell r="BT4" t="str">
            <v>Feb-12</v>
          </cell>
          <cell r="BU4" t="str">
            <v>Mar-12</v>
          </cell>
          <cell r="BV4" t="str">
            <v>Apr-12</v>
          </cell>
          <cell r="BW4" t="str">
            <v>May-12</v>
          </cell>
          <cell r="BX4" t="str">
            <v>Jun-12</v>
          </cell>
          <cell r="BY4" t="str">
            <v>Jul-12</v>
          </cell>
          <cell r="BZ4" t="str">
            <v>Aug-12</v>
          </cell>
          <cell r="CA4" t="str">
            <v>Sep-12</v>
          </cell>
          <cell r="CB4" t="str">
            <v>Oct-12</v>
          </cell>
          <cell r="CC4" t="str">
            <v>Nov-12</v>
          </cell>
          <cell r="CD4" t="str">
            <v>Dec-12</v>
          </cell>
          <cell r="CE4" t="str">
            <v>Jan-13</v>
          </cell>
          <cell r="CF4" t="str">
            <v>Feb-13</v>
          </cell>
          <cell r="CG4" t="str">
            <v>Mar-13</v>
          </cell>
          <cell r="CH4" t="str">
            <v>Apr-13</v>
          </cell>
          <cell r="CI4" t="str">
            <v>May-13</v>
          </cell>
          <cell r="CJ4" t="str">
            <v>Jun-13</v>
          </cell>
          <cell r="CK4" t="str">
            <v>Jul-13</v>
          </cell>
          <cell r="CL4" t="str">
            <v>Aug-13</v>
          </cell>
          <cell r="CM4" t="str">
            <v>Sep-13</v>
          </cell>
          <cell r="CN4" t="str">
            <v>Oct-13</v>
          </cell>
          <cell r="CO4" t="str">
            <v>Nov-13</v>
          </cell>
          <cell r="CP4" t="str">
            <v>Dec-13</v>
          </cell>
          <cell r="CQ4" t="str">
            <v>Jaqn-14</v>
          </cell>
          <cell r="CR4" t="str">
            <v>Feb-14</v>
          </cell>
          <cell r="CS4" t="str">
            <v>Mar-14</v>
          </cell>
          <cell r="CT4" t="str">
            <v>Apr-14</v>
          </cell>
          <cell r="CU4" t="str">
            <v>May-14</v>
          </cell>
          <cell r="CV4" t="str">
            <v>Jun-14</v>
          </cell>
          <cell r="CW4" t="str">
            <v>Jul-14</v>
          </cell>
          <cell r="CX4" t="str">
            <v>Aug-14</v>
          </cell>
          <cell r="CY4" t="str">
            <v>Sep-14</v>
          </cell>
          <cell r="CZ4" t="str">
            <v>Oct-14</v>
          </cell>
          <cell r="DA4" t="str">
            <v>Nov-14</v>
          </cell>
          <cell r="DB4" t="str">
            <v>Dec-14</v>
          </cell>
          <cell r="DC4" t="str">
            <v>Jan-15</v>
          </cell>
          <cell r="DD4" t="str">
            <v>Feb-15</v>
          </cell>
          <cell r="DE4" t="str">
            <v>Mar-15</v>
          </cell>
          <cell r="DF4" t="str">
            <v>Apr-15</v>
          </cell>
          <cell r="DG4" t="str">
            <v>May-15</v>
          </cell>
          <cell r="DH4" t="str">
            <v>Jun-15</v>
          </cell>
          <cell r="DI4" t="str">
            <v>Jul-15</v>
          </cell>
          <cell r="DJ4" t="str">
            <v>Aug-15</v>
          </cell>
          <cell r="DK4" t="str">
            <v>Sep-15</v>
          </cell>
          <cell r="DL4" t="str">
            <v>Oct-15</v>
          </cell>
          <cell r="DM4" t="str">
            <v>Nov-15</v>
          </cell>
          <cell r="DN4" t="str">
            <v>Dec-15</v>
          </cell>
          <cell r="DO4" t="str">
            <v>Jan-16</v>
          </cell>
          <cell r="DP4" t="str">
            <v>Feb-16</v>
          </cell>
          <cell r="DQ4" t="str">
            <v>Mar-16</v>
          </cell>
          <cell r="DR4" t="str">
            <v>Apr-16</v>
          </cell>
          <cell r="DS4" t="str">
            <v>May-16</v>
          </cell>
          <cell r="DT4" t="str">
            <v>Jun-16</v>
          </cell>
          <cell r="DU4" t="str">
            <v>Jul-16</v>
          </cell>
          <cell r="DV4" t="str">
            <v>Aug-16</v>
          </cell>
          <cell r="DW4" t="str">
            <v>Sep-16</v>
          </cell>
          <cell r="DX4" t="str">
            <v>Oct-16</v>
          </cell>
          <cell r="DY4" t="str">
            <v>Nov-16</v>
          </cell>
          <cell r="DZ4" t="str">
            <v>Dec-16</v>
          </cell>
          <cell r="EA4">
            <v>42736</v>
          </cell>
          <cell r="EB4">
            <v>42767</v>
          </cell>
          <cell r="EC4">
            <v>42795</v>
          </cell>
          <cell r="ED4">
            <v>42826</v>
          </cell>
          <cell r="EE4">
            <v>42856</v>
          </cell>
          <cell r="EF4">
            <v>42887</v>
          </cell>
          <cell r="EG4">
            <v>42917</v>
          </cell>
          <cell r="EH4">
            <v>42948</v>
          </cell>
          <cell r="EI4">
            <v>42979</v>
          </cell>
          <cell r="EJ4">
            <v>43009</v>
          </cell>
          <cell r="EK4">
            <v>43040</v>
          </cell>
          <cell r="EL4">
            <v>43070</v>
          </cell>
          <cell r="EM4">
            <v>43101</v>
          </cell>
          <cell r="EN4">
            <v>43132</v>
          </cell>
          <cell r="EO4">
            <v>43160</v>
          </cell>
          <cell r="EP4">
            <v>43191</v>
          </cell>
          <cell r="EQ4">
            <v>43221</v>
          </cell>
          <cell r="ER4">
            <v>43252</v>
          </cell>
          <cell r="ES4">
            <v>43282</v>
          </cell>
          <cell r="ET4">
            <v>43313</v>
          </cell>
          <cell r="EU4">
            <v>43344</v>
          </cell>
          <cell r="EV4">
            <v>43374</v>
          </cell>
          <cell r="EW4">
            <v>43405</v>
          </cell>
          <cell r="EX4">
            <v>43435</v>
          </cell>
          <cell r="EY4">
            <v>43466</v>
          </cell>
          <cell r="EZ4">
            <v>43497</v>
          </cell>
          <cell r="FA4">
            <v>43525</v>
          </cell>
          <cell r="FB4">
            <v>43556</v>
          </cell>
          <cell r="FC4">
            <v>43586</v>
          </cell>
          <cell r="FD4">
            <v>43617</v>
          </cell>
          <cell r="FE4">
            <v>43647</v>
          </cell>
          <cell r="FF4">
            <v>43678</v>
          </cell>
          <cell r="FG4">
            <v>43709</v>
          </cell>
          <cell r="FH4">
            <v>43739</v>
          </cell>
          <cell r="FI4">
            <v>43770</v>
          </cell>
          <cell r="FJ4">
            <v>43800</v>
          </cell>
        </row>
        <row r="5">
          <cell r="W5">
            <v>0.1346</v>
          </cell>
          <cell r="X5">
            <v>0.17730000000000001</v>
          </cell>
          <cell r="Y5">
            <v>0.18229999999999999</v>
          </cell>
          <cell r="Z5">
            <v>0.18160000000000001</v>
          </cell>
          <cell r="AA5">
            <v>0.18709999999999999</v>
          </cell>
          <cell r="AB5">
            <v>0.2414</v>
          </cell>
          <cell r="AC5">
            <v>0.24940000000000001</v>
          </cell>
          <cell r="AD5">
            <v>0.28460000000000002</v>
          </cell>
          <cell r="AE5">
            <v>0.28062999999999999</v>
          </cell>
          <cell r="AF5">
            <v>0.29099999999999998</v>
          </cell>
          <cell r="AG5">
            <v>0.26779999999999998</v>
          </cell>
          <cell r="AH5">
            <v>0.23519999999999999</v>
          </cell>
          <cell r="AI5">
            <v>0.23519999999999999</v>
          </cell>
          <cell r="AJ5">
            <v>0.1608</v>
          </cell>
          <cell r="AK5">
            <v>0.1138</v>
          </cell>
          <cell r="AL5">
            <v>9.0120000000000006E-2</v>
          </cell>
          <cell r="AM5">
            <v>8.9099999999999999E-2</v>
          </cell>
          <cell r="AN5">
            <v>8.6599999999999996E-2</v>
          </cell>
          <cell r="AO5">
            <v>8.8156999999999999E-2</v>
          </cell>
          <cell r="AP5">
            <v>8.8156999999999999E-2</v>
          </cell>
          <cell r="AQ5">
            <v>0.12819900000000001</v>
          </cell>
          <cell r="AR5">
            <v>0.14682300000000001</v>
          </cell>
          <cell r="AS5">
            <v>0.13339200000000001</v>
          </cell>
          <cell r="AT5">
            <v>0.13339200000000001</v>
          </cell>
          <cell r="AU5">
            <v>0.151146</v>
          </cell>
          <cell r="AV5">
            <v>0.14732500000000001</v>
          </cell>
          <cell r="AW5">
            <v>0.14923600000000001</v>
          </cell>
          <cell r="AX5">
            <v>0.14553199999999999</v>
          </cell>
          <cell r="AY5">
            <v>0.14790600000000001</v>
          </cell>
          <cell r="AZ5">
            <v>0.15458</v>
          </cell>
          <cell r="BA5">
            <v>0.15668000000000001</v>
          </cell>
          <cell r="BB5">
            <v>0.14949999999999999</v>
          </cell>
          <cell r="BC5">
            <v>0.14549999999999999</v>
          </cell>
          <cell r="BD5">
            <v>0.14549999999999999</v>
          </cell>
          <cell r="BE5">
            <v>0.14835300000000001</v>
          </cell>
          <cell r="BF5">
            <v>0.16592000000000001</v>
          </cell>
          <cell r="BG5">
            <v>0.17061000000000001</v>
          </cell>
          <cell r="BH5">
            <v>0.17788999999999999</v>
          </cell>
          <cell r="BI5">
            <v>0.1913</v>
          </cell>
          <cell r="BJ5">
            <v>0.20300000000000001</v>
          </cell>
          <cell r="BK5">
            <v>0.22600000000000001</v>
          </cell>
          <cell r="BL5">
            <v>0.24249999999999999</v>
          </cell>
          <cell r="BM5">
            <v>0.2366</v>
          </cell>
          <cell r="BN5">
            <v>0.24510000000000001</v>
          </cell>
          <cell r="BO5">
            <v>0.24099999999999999</v>
          </cell>
          <cell r="BP5">
            <v>0.22650000000000001</v>
          </cell>
          <cell r="BQ5">
            <v>0.23119999999999999</v>
          </cell>
          <cell r="BR5">
            <v>0.23219999999999999</v>
          </cell>
          <cell r="BS5">
            <v>0.24540000000000001</v>
          </cell>
          <cell r="BT5">
            <v>0.24349999999999999</v>
          </cell>
          <cell r="BU5">
            <v>0.24540000000000001</v>
          </cell>
          <cell r="BV5">
            <v>0.25309999999999999</v>
          </cell>
          <cell r="BW5">
            <v>0.25900000000000001</v>
          </cell>
          <cell r="BX5">
            <v>0.26129999999999998</v>
          </cell>
          <cell r="BY5">
            <v>0.25619999999999998</v>
          </cell>
          <cell r="BZ5">
            <v>0.23530000000000001</v>
          </cell>
          <cell r="CA5">
            <v>0.21160000000000001</v>
          </cell>
          <cell r="CB5">
            <v>0.2296</v>
          </cell>
          <cell r="CC5">
            <v>0.2447</v>
          </cell>
          <cell r="CD5">
            <v>0.25230000000000002</v>
          </cell>
          <cell r="CE5">
            <v>0.25259999999999999</v>
          </cell>
          <cell r="CF5">
            <v>0.25119999999999998</v>
          </cell>
          <cell r="CG5">
            <v>0.24909999999999999</v>
          </cell>
          <cell r="CH5">
            <v>0.26200000000000001</v>
          </cell>
          <cell r="CI5">
            <v>0.2485</v>
          </cell>
          <cell r="CJ5">
            <v>0.2351</v>
          </cell>
          <cell r="CK5">
            <v>0.22800000000000001</v>
          </cell>
          <cell r="CL5">
            <v>0.21729999999999999</v>
          </cell>
          <cell r="CM5">
            <v>0.2276</v>
          </cell>
          <cell r="CN5">
            <v>0.22989999999999999</v>
          </cell>
          <cell r="CO5">
            <v>0.23519999999999999</v>
          </cell>
          <cell r="CP5">
            <v>0.24160000000000001</v>
          </cell>
          <cell r="CQ5">
            <v>0.23100000000000001</v>
          </cell>
          <cell r="CR5">
            <v>0.24010000000000001</v>
          </cell>
          <cell r="CS5">
            <v>0.2402</v>
          </cell>
          <cell r="CT5">
            <v>0.23719999999999999</v>
          </cell>
          <cell r="CU5">
            <v>0.24160000000000001</v>
          </cell>
          <cell r="CV5">
            <v>0.23830000000000001</v>
          </cell>
          <cell r="CW5">
            <v>0.2384</v>
          </cell>
          <cell r="CX5">
            <v>0.24010000000000001</v>
          </cell>
          <cell r="CY5">
            <v>0.2447</v>
          </cell>
          <cell r="CZ5">
            <v>0.2366</v>
          </cell>
          <cell r="DA5">
            <v>0.23050000000000001</v>
          </cell>
          <cell r="DB5">
            <v>0.2203</v>
          </cell>
          <cell r="DC5">
            <v>0.20910000000000001</v>
          </cell>
          <cell r="DD5">
            <v>0.19800000000000001</v>
          </cell>
          <cell r="DE5">
            <v>0.15659999999999999</v>
          </cell>
          <cell r="DF5">
            <v>0.1396</v>
          </cell>
          <cell r="DG5">
            <v>0.1298</v>
          </cell>
          <cell r="DH5">
            <v>0.1321</v>
          </cell>
          <cell r="DI5">
            <v>0.1389</v>
          </cell>
          <cell r="DJ5">
            <v>0.14960000000000001</v>
          </cell>
          <cell r="DK5">
            <v>0.14119999999999999</v>
          </cell>
          <cell r="DL5">
            <v>0.13639999999999999</v>
          </cell>
          <cell r="DM5">
            <v>0.13109999999999999</v>
          </cell>
          <cell r="DN5">
            <v>0.11600000000000001</v>
          </cell>
          <cell r="DO5">
            <v>9.9900000000000003E-2</v>
          </cell>
          <cell r="DP5">
            <v>9.3899999999999997E-2</v>
          </cell>
          <cell r="DQ5">
            <v>8.9700000000000002E-2</v>
          </cell>
          <cell r="DR5">
            <v>7.8799999999999995E-2</v>
          </cell>
          <cell r="DS5">
            <v>6.6100000000000006E-2</v>
          </cell>
          <cell r="DT5">
            <v>6.4699999999999994E-2</v>
          </cell>
          <cell r="DU5">
            <v>7.8399999999999997E-2</v>
          </cell>
          <cell r="DV5">
            <v>8.9499999999999996E-2</v>
          </cell>
          <cell r="DW5">
            <v>9.7299999999999998E-2</v>
          </cell>
          <cell r="DX5">
            <v>8.7599999999999997E-2</v>
          </cell>
          <cell r="DY5">
            <v>8.5699999999999998E-2</v>
          </cell>
          <cell r="DZ5">
            <v>9.1300000000000006E-2</v>
          </cell>
          <cell r="EA5">
            <v>9.4399999999999998E-2</v>
          </cell>
          <cell r="EB5">
            <v>0.10680000000000001</v>
          </cell>
          <cell r="EC5">
            <v>0.1004</v>
          </cell>
          <cell r="ED5">
            <v>0.1079</v>
          </cell>
          <cell r="EE5">
            <v>0.1168</v>
          </cell>
          <cell r="EF5">
            <v>0.12540000000000001</v>
          </cell>
          <cell r="EG5">
            <v>0.1129</v>
          </cell>
          <cell r="EH5">
            <v>0.10059999999999999</v>
          </cell>
          <cell r="EI5">
            <v>9.4299999999999995E-2</v>
          </cell>
          <cell r="EJ5">
            <v>0.1052</v>
          </cell>
          <cell r="EK5">
            <v>0.10680000000000001</v>
          </cell>
          <cell r="EL5">
            <v>0.11360000000000001</v>
          </cell>
          <cell r="EM5">
            <v>0.1148</v>
          </cell>
          <cell r="EN5">
            <v>0.1275</v>
          </cell>
          <cell r="EO5">
            <v>0.13980000000000001</v>
          </cell>
          <cell r="EP5">
            <v>0.14119999999999999</v>
          </cell>
          <cell r="EQ5">
            <v>0.14330000000000001</v>
          </cell>
          <cell r="ER5">
            <v>0.15110000000000001</v>
          </cell>
          <cell r="ES5">
            <v>0.1633</v>
          </cell>
          <cell r="ET5">
            <v>0.16550000000000001</v>
          </cell>
          <cell r="EU5">
            <v>0.1613</v>
          </cell>
          <cell r="EV5">
            <v>0.15809999999999999</v>
          </cell>
          <cell r="EW5">
            <v>0.16039999999999999</v>
          </cell>
          <cell r="EX5">
            <v>0.16869999999999999</v>
          </cell>
          <cell r="EY5">
            <v>0.17699999999999999</v>
          </cell>
          <cell r="EZ5">
            <v>0.16520000000000001</v>
          </cell>
          <cell r="FA5">
            <v>0.1515</v>
          </cell>
          <cell r="FB5">
            <v>0.13300000000000001</v>
          </cell>
          <cell r="FC5">
            <v>0.1366</v>
          </cell>
          <cell r="FD5">
            <v>0.1467</v>
          </cell>
          <cell r="FE5">
            <v>0.15060000000000001</v>
          </cell>
          <cell r="FF5">
            <v>0.14929999999999999</v>
          </cell>
          <cell r="FG5">
            <v>0.14760000000000001</v>
          </cell>
          <cell r="FH5">
            <v>0.13830000000000001</v>
          </cell>
          <cell r="FI5">
            <v>0.12870000000000001</v>
          </cell>
          <cell r="FJ5">
            <v>0.13669999999999999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ap"/>
      <sheetName val="P&amp;B Furn"/>
      <sheetName val="Major"/>
      <sheetName val="flow"/>
      <sheetName val="Data"/>
      <sheetName val="Budget notes"/>
    </sheetNames>
    <sheetDataSet>
      <sheetData sheetId="0">
        <row r="20">
          <cell r="D20">
            <v>-197480.15999999995</v>
          </cell>
        </row>
      </sheetData>
      <sheetData sheetId="1">
        <row r="24">
          <cell r="E24">
            <v>171300</v>
          </cell>
        </row>
      </sheetData>
      <sheetData sheetId="2"/>
      <sheetData sheetId="3">
        <row r="15">
          <cell r="E15">
            <v>230000</v>
          </cell>
        </row>
      </sheetData>
      <sheetData sheetId="4"/>
      <sheetData sheetId="5">
        <row r="5">
          <cell r="D5">
            <v>3306912.4000000004</v>
          </cell>
          <cell r="E5">
            <v>3020537.23</v>
          </cell>
          <cell r="G5">
            <v>2730915.36</v>
          </cell>
        </row>
        <row r="8">
          <cell r="E8">
            <v>1175693.3900000001</v>
          </cell>
          <cell r="G8">
            <v>1061412.32</v>
          </cell>
        </row>
        <row r="9">
          <cell r="E9">
            <v>1124972.3800000001</v>
          </cell>
          <cell r="G9">
            <v>917709.14999999991</v>
          </cell>
        </row>
        <row r="10">
          <cell r="E10">
            <v>466558.68400000001</v>
          </cell>
          <cell r="G10">
            <v>364864.27866644401</v>
          </cell>
        </row>
        <row r="11">
          <cell r="E11">
            <v>89624</v>
          </cell>
          <cell r="G11">
            <v>74252</v>
          </cell>
        </row>
        <row r="12">
          <cell r="E12">
            <v>337788</v>
          </cell>
          <cell r="G12">
            <v>283692</v>
          </cell>
        </row>
        <row r="15">
          <cell r="E15">
            <v>-983249</v>
          </cell>
          <cell r="G15">
            <v>-983249</v>
          </cell>
        </row>
        <row r="16">
          <cell r="E16">
            <v>983249</v>
          </cell>
          <cell r="G16">
            <v>983249</v>
          </cell>
        </row>
        <row r="20">
          <cell r="E20">
            <v>-145206</v>
          </cell>
          <cell r="G20">
            <v>-145206</v>
          </cell>
        </row>
        <row r="21">
          <cell r="E21">
            <v>-242010</v>
          </cell>
          <cell r="G21">
            <v>-242010</v>
          </cell>
        </row>
        <row r="22">
          <cell r="E22">
            <v>387216</v>
          </cell>
          <cell r="G22">
            <v>387216</v>
          </cell>
        </row>
        <row r="31">
          <cell r="E31">
            <v>2471484</v>
          </cell>
          <cell r="G31">
            <v>2286117</v>
          </cell>
        </row>
        <row r="32">
          <cell r="E32">
            <v>70140</v>
          </cell>
          <cell r="G32">
            <v>70140</v>
          </cell>
        </row>
        <row r="33">
          <cell r="D33">
            <v>0</v>
          </cell>
          <cell r="E33">
            <v>0</v>
          </cell>
          <cell r="G33">
            <v>0</v>
          </cell>
        </row>
        <row r="34">
          <cell r="E34">
            <v>368600</v>
          </cell>
          <cell r="G34">
            <v>285641.89</v>
          </cell>
        </row>
        <row r="35">
          <cell r="E35">
            <v>20497.260000000002</v>
          </cell>
          <cell r="G35">
            <v>18627.13</v>
          </cell>
        </row>
        <row r="36">
          <cell r="E36">
            <v>66349.929999999993</v>
          </cell>
          <cell r="G36">
            <v>51901.59</v>
          </cell>
        </row>
        <row r="37">
          <cell r="E37">
            <v>21635</v>
          </cell>
          <cell r="G37">
            <v>16546</v>
          </cell>
        </row>
        <row r="38">
          <cell r="E38">
            <v>1625.0400000000002</v>
          </cell>
          <cell r="G38">
            <v>1820.0400000000002</v>
          </cell>
        </row>
        <row r="39">
          <cell r="E39">
            <v>0</v>
          </cell>
          <cell r="G39">
            <v>0</v>
          </cell>
        </row>
        <row r="40">
          <cell r="E40">
            <v>206</v>
          </cell>
          <cell r="G40">
            <v>121.71000000000001</v>
          </cell>
        </row>
        <row r="44">
          <cell r="E44">
            <v>217644.37</v>
          </cell>
          <cell r="G44">
            <v>204052.63999999998</v>
          </cell>
        </row>
        <row r="45">
          <cell r="E45">
            <v>25592.959999999999</v>
          </cell>
          <cell r="G45">
            <v>18739.62</v>
          </cell>
        </row>
        <row r="46">
          <cell r="E46">
            <v>20319.72</v>
          </cell>
          <cell r="G46">
            <v>15613.380000000001</v>
          </cell>
        </row>
        <row r="47">
          <cell r="D47">
            <v>0</v>
          </cell>
          <cell r="E47"/>
          <cell r="G47"/>
        </row>
        <row r="48">
          <cell r="D48"/>
          <cell r="E48"/>
          <cell r="G48"/>
        </row>
        <row r="49">
          <cell r="E49">
            <v>23029.069999999996</v>
          </cell>
          <cell r="G49">
            <v>23214</v>
          </cell>
        </row>
        <row r="54">
          <cell r="E54">
            <v>1964</v>
          </cell>
          <cell r="G54">
            <v>2040</v>
          </cell>
        </row>
        <row r="55">
          <cell r="E55">
            <v>24191.35</v>
          </cell>
          <cell r="G55">
            <v>20318.349999999999</v>
          </cell>
        </row>
        <row r="56">
          <cell r="E56">
            <v>54466.030000000006</v>
          </cell>
          <cell r="G56">
            <v>25953.48</v>
          </cell>
        </row>
        <row r="57">
          <cell r="D57"/>
          <cell r="E57"/>
          <cell r="G57">
            <v>0</v>
          </cell>
        </row>
        <row r="58">
          <cell r="D58">
            <v>720</v>
          </cell>
          <cell r="E58">
            <v>688.66000000000008</v>
          </cell>
          <cell r="G58"/>
        </row>
        <row r="59">
          <cell r="D59">
            <v>32800</v>
          </cell>
          <cell r="E59">
            <v>30254</v>
          </cell>
          <cell r="G59">
            <v>18673.34</v>
          </cell>
        </row>
        <row r="60">
          <cell r="D60">
            <v>51912</v>
          </cell>
          <cell r="E60">
            <v>49632.54</v>
          </cell>
          <cell r="G60">
            <v>49466.19</v>
          </cell>
        </row>
        <row r="61">
          <cell r="D61">
            <v>733219.83</v>
          </cell>
          <cell r="E61">
            <v>698304</v>
          </cell>
          <cell r="G61">
            <v>665051.4</v>
          </cell>
        </row>
        <row r="62">
          <cell r="D62">
            <v>24000</v>
          </cell>
          <cell r="E62">
            <v>24006.65</v>
          </cell>
          <cell r="G62">
            <v>18539.919999999998</v>
          </cell>
        </row>
        <row r="63">
          <cell r="D63"/>
          <cell r="E63"/>
          <cell r="G63">
            <v>0</v>
          </cell>
        </row>
        <row r="64">
          <cell r="D64">
            <v>5600.04</v>
          </cell>
          <cell r="E64">
            <v>5600.04</v>
          </cell>
          <cell r="G64">
            <v>-250</v>
          </cell>
        </row>
        <row r="74">
          <cell r="E74">
            <v>221820.35000000003</v>
          </cell>
          <cell r="G74">
            <v>182144.05000000002</v>
          </cell>
        </row>
        <row r="75">
          <cell r="E75">
            <v>196184.29000000004</v>
          </cell>
          <cell r="G75">
            <v>148912.44999999998</v>
          </cell>
        </row>
        <row r="76">
          <cell r="E76">
            <v>10008</v>
          </cell>
          <cell r="G76">
            <v>10008</v>
          </cell>
        </row>
        <row r="77">
          <cell r="E77">
            <v>30750.809999999994</v>
          </cell>
          <cell r="G77">
            <v>33366.69</v>
          </cell>
        </row>
        <row r="78">
          <cell r="E78">
            <v>26958.85</v>
          </cell>
          <cell r="G78">
            <v>23457.16</v>
          </cell>
        </row>
        <row r="79">
          <cell r="E79">
            <v>6468</v>
          </cell>
          <cell r="G79">
            <v>8392.91</v>
          </cell>
        </row>
        <row r="80">
          <cell r="E80">
            <v>50420.05</v>
          </cell>
          <cell r="G80">
            <v>53206.06</v>
          </cell>
        </row>
        <row r="81">
          <cell r="E81">
            <v>31416.480000000003</v>
          </cell>
          <cell r="G81">
            <v>33579.17</v>
          </cell>
        </row>
        <row r="86">
          <cell r="E86">
            <v>7608.76</v>
          </cell>
          <cell r="G86">
            <v>9012.02</v>
          </cell>
        </row>
        <row r="87">
          <cell r="E87">
            <v>4987.5</v>
          </cell>
          <cell r="G87">
            <v>6482.7699999999995</v>
          </cell>
        </row>
        <row r="88">
          <cell r="E88">
            <v>187548.62</v>
          </cell>
          <cell r="G88">
            <v>131870.87</v>
          </cell>
        </row>
        <row r="89">
          <cell r="D89">
            <v>0</v>
          </cell>
          <cell r="E89">
            <v>0</v>
          </cell>
          <cell r="G89">
            <v>0</v>
          </cell>
        </row>
        <row r="90">
          <cell r="E90">
            <v>0</v>
          </cell>
          <cell r="G90">
            <v>85.32</v>
          </cell>
        </row>
        <row r="91">
          <cell r="E91">
            <v>5677.94</v>
          </cell>
          <cell r="G91">
            <v>6272.31</v>
          </cell>
        </row>
        <row r="92">
          <cell r="E92">
            <v>19098.050000000003</v>
          </cell>
          <cell r="G92">
            <v>8584.42</v>
          </cell>
        </row>
        <row r="93">
          <cell r="E93">
            <v>11451.36</v>
          </cell>
          <cell r="G93">
            <v>34979.080000000009</v>
          </cell>
        </row>
        <row r="94">
          <cell r="E94">
            <v>17469.599999999999</v>
          </cell>
          <cell r="G94">
            <v>2427.56</v>
          </cell>
        </row>
        <row r="95">
          <cell r="E95">
            <v>0.18000000000029104</v>
          </cell>
          <cell r="G95">
            <v>5416.24</v>
          </cell>
        </row>
        <row r="96">
          <cell r="E96">
            <v>69433.75</v>
          </cell>
          <cell r="G96">
            <v>7665</v>
          </cell>
        </row>
        <row r="97">
          <cell r="E97">
            <v>32479.5</v>
          </cell>
          <cell r="G97">
            <v>17462</v>
          </cell>
        </row>
        <row r="98">
          <cell r="E98">
            <v>1263.92</v>
          </cell>
          <cell r="G98">
            <v>790.07000000000016</v>
          </cell>
        </row>
        <row r="99">
          <cell r="E99">
            <v>7279.35</v>
          </cell>
          <cell r="G99">
            <v>5553.0499999999993</v>
          </cell>
        </row>
        <row r="100">
          <cell r="E100">
            <v>27220.519999999997</v>
          </cell>
          <cell r="G100">
            <v>33101.449999999997</v>
          </cell>
        </row>
        <row r="101">
          <cell r="E101">
            <v>13057.630000000003</v>
          </cell>
          <cell r="G101">
            <v>4627.53</v>
          </cell>
        </row>
        <row r="102">
          <cell r="E102">
            <v>146368.87000000002</v>
          </cell>
          <cell r="G102">
            <v>150312.97</v>
          </cell>
        </row>
        <row r="111">
          <cell r="E111">
            <v>213680.13000000003</v>
          </cell>
          <cell r="G111">
            <v>186519.7</v>
          </cell>
        </row>
        <row r="112">
          <cell r="E112">
            <v>17986</v>
          </cell>
          <cell r="G112">
            <v>14925.739999999998</v>
          </cell>
        </row>
        <row r="113">
          <cell r="E113">
            <v>17295.173999999995</v>
          </cell>
          <cell r="G113">
            <v>11963.600000000002</v>
          </cell>
        </row>
        <row r="114">
          <cell r="D114"/>
          <cell r="E114"/>
          <cell r="G114"/>
        </row>
        <row r="115">
          <cell r="E115">
            <v>25249.540000000005</v>
          </cell>
          <cell r="G115">
            <v>21219.609999999997</v>
          </cell>
        </row>
        <row r="116">
          <cell r="E116">
            <v>21159.360000000001</v>
          </cell>
          <cell r="G116">
            <v>18527.099999999999</v>
          </cell>
        </row>
        <row r="117">
          <cell r="E117">
            <v>-147686</v>
          </cell>
          <cell r="G117">
            <v>-126578.6</v>
          </cell>
        </row>
        <row r="122">
          <cell r="E122">
            <v>31677.01</v>
          </cell>
          <cell r="G122">
            <v>26296.329999999998</v>
          </cell>
        </row>
        <row r="123">
          <cell r="E123">
            <v>464.01</v>
          </cell>
          <cell r="G123">
            <v>0</v>
          </cell>
        </row>
        <row r="124">
          <cell r="E124">
            <v>2162.2800000000002</v>
          </cell>
          <cell r="G124">
            <v>3272.86</v>
          </cell>
        </row>
        <row r="125">
          <cell r="E125">
            <v>1541.3</v>
          </cell>
          <cell r="G125">
            <v>2368.2599999999993</v>
          </cell>
        </row>
        <row r="126">
          <cell r="E126">
            <v>11805.970000000001</v>
          </cell>
          <cell r="G126">
            <v>0</v>
          </cell>
        </row>
        <row r="127">
          <cell r="E127">
            <v>418600</v>
          </cell>
          <cell r="G127">
            <v>317687.77324644401</v>
          </cell>
        </row>
        <row r="128">
          <cell r="E128">
            <v>0</v>
          </cell>
          <cell r="G128">
            <v>6085.5300000000007</v>
          </cell>
        </row>
        <row r="129">
          <cell r="E129">
            <v>-233273.94</v>
          </cell>
          <cell r="G129">
            <v>-179139.06</v>
          </cell>
        </row>
        <row r="130">
          <cell r="E130">
            <v>61008</v>
          </cell>
          <cell r="G130">
            <v>55780.185420000002</v>
          </cell>
        </row>
        <row r="131">
          <cell r="E131">
            <v>10826.44</v>
          </cell>
          <cell r="G131">
            <v>530.4</v>
          </cell>
        </row>
        <row r="132">
          <cell r="E132">
            <v>14063.41</v>
          </cell>
          <cell r="G132">
            <v>5404.85</v>
          </cell>
        </row>
        <row r="152">
          <cell r="E152">
            <v>84803</v>
          </cell>
          <cell r="G152">
            <v>69485</v>
          </cell>
        </row>
        <row r="157">
          <cell r="E157">
            <v>4500</v>
          </cell>
          <cell r="G157">
            <v>4500</v>
          </cell>
        </row>
        <row r="159">
          <cell r="E159">
            <v>321</v>
          </cell>
          <cell r="G159">
            <v>267</v>
          </cell>
        </row>
        <row r="169">
          <cell r="E169">
            <v>233809</v>
          </cell>
          <cell r="G169">
            <v>188395</v>
          </cell>
        </row>
        <row r="170">
          <cell r="E170">
            <v>55328</v>
          </cell>
          <cell r="G170">
            <v>43291</v>
          </cell>
        </row>
        <row r="171">
          <cell r="E171">
            <v>48651</v>
          </cell>
          <cell r="G171">
            <v>52006</v>
          </cell>
        </row>
      </sheetData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ummary"/>
      <sheetName val="Bal Sheet - Dec 23"/>
      <sheetName val="FLOW--2024"/>
      <sheetName val="CapexB2024"/>
      <sheetName val="24C-01 Landscaping Equipment"/>
      <sheetName val="24C-02 Landscaping Lights"/>
      <sheetName val="24C-03 Parking Lots"/>
      <sheetName val="24C-04 Exterior Building"/>
      <sheetName val="24C-09 Pool Heater"/>
      <sheetName val="24C-10 Irrigation Pump"/>
      <sheetName val="24C-11 Jacuzzi and Pool Pump"/>
      <sheetName val="24C-12 Engineering Tools"/>
      <sheetName val="24C-13 Pool Lights"/>
      <sheetName val="24C-14 WWTP Blower"/>
      <sheetName val="24C-15 Miscellaneous"/>
      <sheetName val="24M-01 Water Intrusions"/>
      <sheetName val="24M-02 Ice machine"/>
      <sheetName val="24M-03 Roofing"/>
      <sheetName val="24M-04 Main Gate"/>
      <sheetName val="24M-05 Pool repairs"/>
      <sheetName val="Retained earnings"/>
    </sheetNames>
    <sheetDataSet>
      <sheetData sheetId="0" refreshError="1"/>
      <sheetData sheetId="1">
        <row r="20">
          <cell r="D20">
            <v>-197484</v>
          </cell>
        </row>
        <row r="21">
          <cell r="D21">
            <v>-329172</v>
          </cell>
        </row>
      </sheetData>
      <sheetData sheetId="2" refreshError="1"/>
      <sheetData sheetId="3" refreshError="1"/>
      <sheetData sheetId="4">
        <row r="28">
          <cell r="D28">
            <v>222300</v>
          </cell>
        </row>
        <row r="40">
          <cell r="D40">
            <v>332500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ands Hotel" id="{6BA25AC3-CFDE-4BD5-BEA5-B80011A34882}" userId="S::sandsoffice@thesandstc.onmicrosoft.com::af0039eb-f47d-43f9-9b8a-6ceb5075277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9" dT="2021-04-05T16:34:29.92" personId="{6BA25AC3-CFDE-4BD5-BEA5-B80011A34882}" id="{721AD601-463F-4931-8F76-2EC80D4BA0C6}">
    <text>No assessments in the first quarter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9" dT="2021-04-05T16:34:29.92" personId="{6BA25AC3-CFDE-4BD5-BEA5-B80011A34882}" id="{721AD601-463F-4932-8F76-2EC80D4BA0C6}">
    <text>No assessments in the first quarter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2CF64-8BEF-4830-9FC0-1A790ADC8BB1}">
  <sheetPr>
    <tabColor rgb="FFFF0000"/>
  </sheetPr>
  <dimension ref="A1:R173"/>
  <sheetViews>
    <sheetView zoomScale="129" zoomScaleNormal="129" workbookViewId="0">
      <selection activeCell="E16" sqref="E16"/>
    </sheetView>
  </sheetViews>
  <sheetFormatPr defaultRowHeight="15" x14ac:dyDescent="0.25"/>
  <cols>
    <col min="1" max="1" width="3.42578125" customWidth="1"/>
    <col min="2" max="2" width="28.140625" customWidth="1"/>
    <col min="3" max="3" width="3.7109375" customWidth="1"/>
    <col min="4" max="8" width="14.7109375" customWidth="1"/>
    <col min="9" max="9" width="3.7109375" style="234" customWidth="1"/>
    <col min="10" max="10" width="11.140625" customWidth="1"/>
    <col min="11" max="11" width="8.85546875" style="359" customWidth="1"/>
    <col min="12" max="12" width="2.28515625" style="234" customWidth="1"/>
    <col min="13" max="13" width="15.28515625" customWidth="1"/>
    <col min="14" max="14" width="8.85546875" style="359"/>
    <col min="15" max="18" width="8.85546875" style="234"/>
  </cols>
  <sheetData>
    <row r="1" spans="1:14" x14ac:dyDescent="0.25">
      <c r="A1" s="1"/>
      <c r="B1" s="2" t="s">
        <v>148</v>
      </c>
      <c r="C1" s="3"/>
      <c r="D1" s="3"/>
      <c r="E1" s="3"/>
      <c r="F1" s="3"/>
      <c r="G1" s="3"/>
      <c r="H1" s="3"/>
      <c r="J1" s="234"/>
      <c r="K1" s="350"/>
      <c r="M1" s="234"/>
      <c r="N1" s="350"/>
    </row>
    <row r="2" spans="1:14" ht="15.75" thickBot="1" x14ac:dyDescent="0.3">
      <c r="A2" s="7"/>
      <c r="B2" s="7"/>
      <c r="C2" s="8"/>
      <c r="D2" s="8"/>
      <c r="E2" s="8"/>
      <c r="F2" s="8"/>
      <c r="G2" s="8"/>
      <c r="H2" s="8"/>
      <c r="J2" s="234"/>
      <c r="K2" s="350"/>
      <c r="M2" s="234"/>
      <c r="N2" s="350"/>
    </row>
    <row r="3" spans="1:14" ht="15.75" thickBot="1" x14ac:dyDescent="0.3">
      <c r="A3" s="7"/>
      <c r="B3" s="207" t="s">
        <v>0</v>
      </c>
      <c r="C3" s="8"/>
      <c r="D3" s="191" t="s">
        <v>149</v>
      </c>
      <c r="E3" s="192" t="s">
        <v>153</v>
      </c>
      <c r="F3" s="192" t="s">
        <v>1</v>
      </c>
      <c r="G3" s="193" t="s">
        <v>2</v>
      </c>
      <c r="H3" s="193" t="s">
        <v>109</v>
      </c>
      <c r="J3" s="235" t="s">
        <v>154</v>
      </c>
      <c r="K3" s="351" t="s">
        <v>151</v>
      </c>
      <c r="M3" s="235" t="s">
        <v>155</v>
      </c>
      <c r="N3" s="351" t="s">
        <v>151</v>
      </c>
    </row>
    <row r="4" spans="1:14" ht="15.75" thickBot="1" x14ac:dyDescent="0.3">
      <c r="A4" s="1"/>
      <c r="B4" s="1"/>
      <c r="C4" s="3"/>
      <c r="D4" s="5"/>
      <c r="E4" s="5"/>
      <c r="F4" s="5"/>
      <c r="G4" s="5"/>
      <c r="H4" s="5"/>
      <c r="J4" s="6"/>
      <c r="K4" s="352"/>
      <c r="M4" s="6"/>
      <c r="N4" s="352"/>
    </row>
    <row r="5" spans="1:14" x14ac:dyDescent="0.25">
      <c r="A5" s="1"/>
      <c r="B5" s="202" t="s">
        <v>15</v>
      </c>
      <c r="C5" s="3"/>
      <c r="D5" s="309">
        <f>+'NOT TO USE.'!D5</f>
        <v>3073618</v>
      </c>
      <c r="E5" s="309">
        <f>+'NOT TO USE.'!E5</f>
        <v>2730915.36</v>
      </c>
      <c r="F5" s="309">
        <f>+'NOT TO USE.'!G5</f>
        <v>2827475</v>
      </c>
      <c r="G5" s="309">
        <f>+'NOT TO USE.'!H5</f>
        <v>2588050</v>
      </c>
      <c r="H5" s="309">
        <f>+'NOT TO USE.'!J5</f>
        <v>3025526</v>
      </c>
      <c r="J5" s="248">
        <f>D5-E5</f>
        <v>342702.64000000013</v>
      </c>
      <c r="K5" s="346">
        <f>+J5/E5</f>
        <v>0.12549002617203051</v>
      </c>
      <c r="M5" s="248">
        <f>E5-F5</f>
        <v>-96559.64000000013</v>
      </c>
      <c r="N5" s="346">
        <f>+M5/F5</f>
        <v>-3.4150484089160868E-2</v>
      </c>
    </row>
    <row r="6" spans="1:14" x14ac:dyDescent="0.25">
      <c r="A6" s="2"/>
      <c r="B6" s="203" t="s">
        <v>16</v>
      </c>
      <c r="C6" s="4"/>
      <c r="D6" s="310">
        <f>SUM(D5)</f>
        <v>3073618</v>
      </c>
      <c r="E6" s="310">
        <f>SUM(E5)</f>
        <v>2730915.36</v>
      </c>
      <c r="F6" s="310">
        <f>SUM(F5)</f>
        <v>2827475</v>
      </c>
      <c r="G6" s="310">
        <f>+G5</f>
        <v>2588050</v>
      </c>
      <c r="H6" s="310">
        <f>+H5</f>
        <v>3025526</v>
      </c>
      <c r="J6" s="237">
        <f>D6-E6</f>
        <v>342702.64000000013</v>
      </c>
      <c r="K6" s="347">
        <f>+J6/E6</f>
        <v>0.12549002617203051</v>
      </c>
      <c r="M6" s="237">
        <f>E6-F6</f>
        <v>-96559.64000000013</v>
      </c>
      <c r="N6" s="347">
        <f>+M6/F6</f>
        <v>-3.4150484089160868E-2</v>
      </c>
    </row>
    <row r="7" spans="1:14" x14ac:dyDescent="0.25">
      <c r="A7" s="1"/>
      <c r="B7" s="204"/>
      <c r="C7" s="3"/>
      <c r="D7" s="311"/>
      <c r="E7" s="311"/>
      <c r="F7" s="311"/>
      <c r="G7" s="311"/>
      <c r="H7" s="311"/>
      <c r="J7" s="238">
        <f>+J6/E6</f>
        <v>0.12549002617203051</v>
      </c>
      <c r="K7" s="348"/>
      <c r="M7" s="370">
        <f>+M6/F6</f>
        <v>-3.4150484089160868E-2</v>
      </c>
      <c r="N7" s="348"/>
    </row>
    <row r="8" spans="1:14" x14ac:dyDescent="0.25">
      <c r="A8" s="1"/>
      <c r="B8" s="204" t="s">
        <v>17</v>
      </c>
      <c r="C8" s="3"/>
      <c r="D8" s="311">
        <f>+'NOT TO USE.'!D8</f>
        <v>1160225.9000000001</v>
      </c>
      <c r="E8" s="311">
        <f>+'NOT TO USE.'!E8</f>
        <v>1061411</v>
      </c>
      <c r="F8" s="311">
        <f>+'NOT TO USE.'!G8</f>
        <v>1140816.9060999998</v>
      </c>
      <c r="G8" s="311">
        <f>+'NOT TO USE.'!H8</f>
        <v>1010975</v>
      </c>
      <c r="H8" s="311">
        <f>+'NOT TO USE.'!J8</f>
        <v>1088697</v>
      </c>
      <c r="J8" s="237">
        <f t="shared" ref="J8:J13" si="0">D8-E8</f>
        <v>98814.90000000014</v>
      </c>
      <c r="K8" s="347">
        <f t="shared" ref="K8:K13" si="1">+J8/E8</f>
        <v>9.3097678467624831E-2</v>
      </c>
      <c r="M8" s="237">
        <f t="shared" ref="M8:M13" si="2">E8-F8</f>
        <v>-79405.906099999789</v>
      </c>
      <c r="N8" s="347">
        <f t="shared" ref="N8:N13" si="3">+M8/F8</f>
        <v>-6.960442615761811E-2</v>
      </c>
    </row>
    <row r="9" spans="1:14" x14ac:dyDescent="0.25">
      <c r="A9" s="1"/>
      <c r="B9" s="204" t="s">
        <v>18</v>
      </c>
      <c r="C9" s="3"/>
      <c r="D9" s="311">
        <f>+'NOT TO USE.'!D9</f>
        <v>1170801.28</v>
      </c>
      <c r="E9" s="311">
        <f>+'NOT TO USE.'!E9</f>
        <v>917709.14999999991</v>
      </c>
      <c r="F9" s="311">
        <f>+'NOT TO USE.'!G9</f>
        <v>1099121.3400000003</v>
      </c>
      <c r="G9" s="311">
        <f>+'NOT TO USE.'!H9</f>
        <v>644808</v>
      </c>
      <c r="H9" s="311">
        <f>+'NOT TO USE.'!J9</f>
        <v>1099990</v>
      </c>
      <c r="J9" s="237">
        <f t="shared" si="0"/>
        <v>253092.13000000012</v>
      </c>
      <c r="K9" s="347">
        <f t="shared" si="1"/>
        <v>0.27578686558807891</v>
      </c>
      <c r="M9" s="237">
        <f t="shared" si="2"/>
        <v>-181412.19000000041</v>
      </c>
      <c r="N9" s="347">
        <f t="shared" si="3"/>
        <v>-0.16505201327453106</v>
      </c>
    </row>
    <row r="10" spans="1:14" x14ac:dyDescent="0.25">
      <c r="A10" s="1"/>
      <c r="B10" s="204" t="s">
        <v>19</v>
      </c>
      <c r="C10" s="3"/>
      <c r="D10" s="311">
        <f>+'NOT TO USE.'!D10</f>
        <v>431094.75</v>
      </c>
      <c r="E10" s="311">
        <f>+'NOT TO USE.'!E10</f>
        <v>364865.12866644404</v>
      </c>
      <c r="F10" s="311">
        <f>+'NOT TO USE.'!G10</f>
        <v>378189.53999999992</v>
      </c>
      <c r="G10" s="311">
        <f>+'NOT TO USE.'!H10</f>
        <v>223967</v>
      </c>
      <c r="H10" s="311">
        <f>+'NOT TO USE.'!J10</f>
        <v>409493</v>
      </c>
      <c r="J10" s="237">
        <f t="shared" si="0"/>
        <v>66229.621333555959</v>
      </c>
      <c r="K10" s="347">
        <f t="shared" si="1"/>
        <v>0.1815180901929995</v>
      </c>
      <c r="M10" s="237">
        <f t="shared" si="2"/>
        <v>-13324.41133355588</v>
      </c>
      <c r="N10" s="347">
        <f t="shared" si="3"/>
        <v>-3.523209905159165E-2</v>
      </c>
    </row>
    <row r="11" spans="1:14" x14ac:dyDescent="0.25">
      <c r="A11" s="1"/>
      <c r="B11" s="204" t="s">
        <v>20</v>
      </c>
      <c r="C11" s="3"/>
      <c r="D11" s="311">
        <f>+'NOT TO USE.'!D11</f>
        <v>82400</v>
      </c>
      <c r="E11" s="311">
        <f>+'NOT TO USE.'!E11</f>
        <v>74251.5</v>
      </c>
      <c r="F11" s="311">
        <f>+'NOT TO USE.'!G11</f>
        <v>71291.670000000013</v>
      </c>
      <c r="G11" s="311">
        <f>+'NOT TO USE.'!H11</f>
        <v>54479</v>
      </c>
      <c r="H11" s="311">
        <f>+'NOT TO USE.'!J11</f>
        <v>63510</v>
      </c>
      <c r="J11" s="237">
        <f t="shared" si="0"/>
        <v>8148.5</v>
      </c>
      <c r="K11" s="347">
        <f t="shared" si="1"/>
        <v>0.10974189073621408</v>
      </c>
      <c r="M11" s="237">
        <f t="shared" si="2"/>
        <v>2959.8299999999872</v>
      </c>
      <c r="N11" s="347">
        <f t="shared" si="3"/>
        <v>4.1517192681837678E-2</v>
      </c>
    </row>
    <row r="12" spans="1:14" ht="15.75" thickBot="1" x14ac:dyDescent="0.3">
      <c r="A12" s="1"/>
      <c r="B12" s="205" t="s">
        <v>21</v>
      </c>
      <c r="C12" s="3"/>
      <c r="D12" s="312">
        <f>+'NOT TO USE.'!D12</f>
        <v>266000</v>
      </c>
      <c r="E12" s="312">
        <f>+'NOT TO USE.'!E12</f>
        <v>283692</v>
      </c>
      <c r="F12" s="312">
        <f>+'NOT TO USE.'!G12</f>
        <v>198250</v>
      </c>
      <c r="G12" s="312">
        <f>+'NOT TO USE.'!H12</f>
        <v>139546</v>
      </c>
      <c r="H12" s="312">
        <f>+'NOT TO USE.'!J12</f>
        <v>262888</v>
      </c>
      <c r="J12" s="246">
        <f t="shared" si="0"/>
        <v>-17692</v>
      </c>
      <c r="K12" s="349">
        <f t="shared" si="1"/>
        <v>-6.2363408203262694E-2</v>
      </c>
      <c r="M12" s="246">
        <f t="shared" si="2"/>
        <v>85442</v>
      </c>
      <c r="N12" s="349">
        <f t="shared" si="3"/>
        <v>0.43098108448928119</v>
      </c>
    </row>
    <row r="13" spans="1:14" x14ac:dyDescent="0.25">
      <c r="A13" s="2"/>
      <c r="B13" s="203" t="s">
        <v>22</v>
      </c>
      <c r="C13" s="4"/>
      <c r="D13" s="313">
        <f>SUM(D8:D12)</f>
        <v>3110521.93</v>
      </c>
      <c r="E13" s="313">
        <f>SUM(E8:E12)</f>
        <v>2701928.7786664441</v>
      </c>
      <c r="F13" s="313">
        <f>SUM(F8:F12)</f>
        <v>2887669.4561000001</v>
      </c>
      <c r="G13" s="313">
        <f>SUM(G8:G12)</f>
        <v>2073775</v>
      </c>
      <c r="H13" s="313">
        <f>SUM(H8:H12)</f>
        <v>2924578</v>
      </c>
      <c r="J13" s="239">
        <f t="shared" si="0"/>
        <v>408593.15133355604</v>
      </c>
      <c r="K13" s="348">
        <f t="shared" si="1"/>
        <v>0.15122276891962344</v>
      </c>
      <c r="M13" s="239">
        <f t="shared" si="2"/>
        <v>-185740.67743355595</v>
      </c>
      <c r="N13" s="348">
        <f t="shared" si="3"/>
        <v>-6.432200092749249E-2</v>
      </c>
    </row>
    <row r="14" spans="1:14" x14ac:dyDescent="0.25">
      <c r="A14" s="1"/>
      <c r="B14" s="204"/>
      <c r="C14" s="3"/>
      <c r="D14" s="311"/>
      <c r="E14" s="311"/>
      <c r="F14" s="311"/>
      <c r="G14" s="311"/>
      <c r="H14" s="311"/>
      <c r="J14" s="240">
        <f>+J13/E13</f>
        <v>0.15122276891962344</v>
      </c>
      <c r="K14" s="347"/>
      <c r="M14" s="371">
        <f>+M13/F13</f>
        <v>-6.432200092749249E-2</v>
      </c>
      <c r="N14" s="347"/>
    </row>
    <row r="15" spans="1:14" x14ac:dyDescent="0.25">
      <c r="A15" s="1"/>
      <c r="B15" s="204" t="s">
        <v>23</v>
      </c>
      <c r="C15" s="3"/>
      <c r="D15" s="311">
        <f>'NOT TO USE.'!D15</f>
        <v>-1140358</v>
      </c>
      <c r="E15" s="311">
        <f>'NOT TO USE.'!E15</f>
        <v>-956333</v>
      </c>
      <c r="F15" s="311">
        <f>'NOT TO USE.'!G15</f>
        <v>-971514</v>
      </c>
      <c r="G15" s="311">
        <f>'NOT TO USE.'!H15</f>
        <v>-870465</v>
      </c>
      <c r="H15" s="311">
        <f>'NOT TO USE.'!J15</f>
        <v>-749079</v>
      </c>
      <c r="J15" s="237">
        <f t="shared" ref="J15:J25" si="4">D15-E15</f>
        <v>-184025</v>
      </c>
      <c r="K15" s="347">
        <f>+J15/E15</f>
        <v>0.19242774221949885</v>
      </c>
      <c r="M15" s="237">
        <f t="shared" ref="M15:M25" si="5">E15-F15</f>
        <v>15181</v>
      </c>
      <c r="N15" s="347">
        <f>+M15/F15</f>
        <v>-1.5626125820111702E-2</v>
      </c>
    </row>
    <row r="16" spans="1:14" x14ac:dyDescent="0.25">
      <c r="A16" s="1"/>
      <c r="B16" s="204" t="s">
        <v>24</v>
      </c>
      <c r="C16" s="3"/>
      <c r="D16" s="311">
        <f>'NOT TO USE.'!D16</f>
        <v>1140358</v>
      </c>
      <c r="E16" s="311">
        <f>'NOT TO USE.'!E16</f>
        <v>956333</v>
      </c>
      <c r="F16" s="311">
        <f>'NOT TO USE.'!G16</f>
        <v>971514</v>
      </c>
      <c r="G16" s="311">
        <f>'NOT TO USE.'!H16</f>
        <v>870465</v>
      </c>
      <c r="H16" s="311">
        <f>'NOT TO USE.'!J16</f>
        <v>749079</v>
      </c>
      <c r="J16" s="237">
        <f t="shared" si="4"/>
        <v>184025</v>
      </c>
      <c r="K16" s="347">
        <f>+J16/E16</f>
        <v>0.19242774221949885</v>
      </c>
      <c r="M16" s="237">
        <f t="shared" si="5"/>
        <v>-15181</v>
      </c>
      <c r="N16" s="347">
        <f>+M16/F16</f>
        <v>-1.5626125820111702E-2</v>
      </c>
    </row>
    <row r="17" spans="1:14" ht="15.75" thickBot="1" x14ac:dyDescent="0.3">
      <c r="A17" s="1"/>
      <c r="B17" s="205" t="s">
        <v>25</v>
      </c>
      <c r="C17" s="3"/>
      <c r="D17" s="311"/>
      <c r="E17" s="311"/>
      <c r="F17" s="311"/>
      <c r="G17" s="311"/>
      <c r="H17" s="311"/>
      <c r="J17" s="246">
        <f t="shared" si="4"/>
        <v>0</v>
      </c>
      <c r="K17" s="349"/>
      <c r="M17" s="246">
        <f t="shared" si="5"/>
        <v>0</v>
      </c>
      <c r="N17" s="349"/>
    </row>
    <row r="18" spans="1:14" x14ac:dyDescent="0.25">
      <c r="A18" s="2"/>
      <c r="B18" s="203" t="s">
        <v>26</v>
      </c>
      <c r="C18" s="4"/>
      <c r="D18" s="313">
        <f>SUM(D15:D17)</f>
        <v>0</v>
      </c>
      <c r="E18" s="313">
        <f>SUM(E15:E17)</f>
        <v>0</v>
      </c>
      <c r="F18" s="313">
        <f>SUM(G15:G17)</f>
        <v>0</v>
      </c>
      <c r="G18" s="313">
        <f>SUM(J15:J17)</f>
        <v>0</v>
      </c>
      <c r="H18" s="313">
        <f>SUM(K15:K17)</f>
        <v>0.3848554844389977</v>
      </c>
      <c r="J18" s="237">
        <f t="shared" si="4"/>
        <v>0</v>
      </c>
      <c r="K18" s="347"/>
      <c r="M18" s="237">
        <f t="shared" si="5"/>
        <v>0</v>
      </c>
      <c r="N18" s="347"/>
    </row>
    <row r="19" spans="1:14" x14ac:dyDescent="0.25">
      <c r="A19" s="1"/>
      <c r="B19" s="204"/>
      <c r="C19" s="3"/>
      <c r="D19" s="311"/>
      <c r="E19" s="311"/>
      <c r="F19" s="311"/>
      <c r="G19" s="311"/>
      <c r="H19" s="311"/>
      <c r="J19" s="237">
        <f t="shared" si="4"/>
        <v>0</v>
      </c>
      <c r="K19" s="347"/>
      <c r="M19" s="237">
        <f t="shared" si="5"/>
        <v>0</v>
      </c>
      <c r="N19" s="347"/>
    </row>
    <row r="20" spans="1:14" x14ac:dyDescent="0.25">
      <c r="A20" s="1"/>
      <c r="B20" s="204" t="s">
        <v>27</v>
      </c>
      <c r="C20" s="3"/>
      <c r="D20" s="315">
        <f>+'NOT TO USE.'!D20</f>
        <v>-193608</v>
      </c>
      <c r="E20" s="315">
        <f>+'NOT TO USE.'!E20</f>
        <v>-145206</v>
      </c>
      <c r="F20" s="315">
        <f>+'NOT TO USE.'!G20</f>
        <v>-145206</v>
      </c>
      <c r="G20" s="315">
        <f>+'NOT TO USE.'!H20</f>
        <v>-32268</v>
      </c>
      <c r="H20" s="315">
        <f>+'NOT TO USE.'!J20</f>
        <v>-193608</v>
      </c>
      <c r="J20" s="237">
        <f t="shared" si="4"/>
        <v>-48402</v>
      </c>
      <c r="K20" s="347">
        <f>+J20/E20</f>
        <v>0.33333333333333331</v>
      </c>
      <c r="M20" s="237">
        <f t="shared" si="5"/>
        <v>0</v>
      </c>
      <c r="N20" s="347">
        <f>+M20/F20</f>
        <v>0</v>
      </c>
    </row>
    <row r="21" spans="1:14" x14ac:dyDescent="0.25">
      <c r="A21" s="1"/>
      <c r="B21" s="204" t="s">
        <v>28</v>
      </c>
      <c r="C21" s="3"/>
      <c r="D21" s="315">
        <f>+'NOT TO USE.'!D21</f>
        <v>-322680</v>
      </c>
      <c r="E21" s="315">
        <f>+'NOT TO USE.'!E21</f>
        <v>-242010</v>
      </c>
      <c r="F21" s="315">
        <f>+'NOT TO USE.'!G21</f>
        <v>-242010</v>
      </c>
      <c r="G21" s="315">
        <f>+'NOT TO USE.'!H21</f>
        <v>-53780</v>
      </c>
      <c r="H21" s="315">
        <f>+'NOT TO USE.'!J21</f>
        <v>-322680</v>
      </c>
      <c r="J21" s="237">
        <f t="shared" si="4"/>
        <v>-80670</v>
      </c>
      <c r="K21" s="347">
        <f>+J21/E21</f>
        <v>0.33333333333333331</v>
      </c>
      <c r="M21" s="237">
        <f t="shared" si="5"/>
        <v>0</v>
      </c>
      <c r="N21" s="347">
        <f>+M21/F21</f>
        <v>0</v>
      </c>
    </row>
    <row r="22" spans="1:14" ht="15.75" thickBot="1" x14ac:dyDescent="0.3">
      <c r="A22" s="1"/>
      <c r="B22" s="205" t="s">
        <v>29</v>
      </c>
      <c r="C22" s="3"/>
      <c r="D22" s="316">
        <f>+'NOT TO USE.'!D22</f>
        <v>516288</v>
      </c>
      <c r="E22" s="316">
        <f>+'NOT TO USE.'!E22</f>
        <v>387216</v>
      </c>
      <c r="F22" s="316">
        <f>+'NOT TO USE.'!G22</f>
        <v>387216</v>
      </c>
      <c r="G22" s="316">
        <f>+'NOT TO USE.'!H22</f>
        <v>86048</v>
      </c>
      <c r="H22" s="316">
        <f>+'NOT TO USE.'!J22</f>
        <v>516288</v>
      </c>
      <c r="J22" s="246">
        <f t="shared" si="4"/>
        <v>129072</v>
      </c>
      <c r="K22" s="349">
        <f>+J22/E22</f>
        <v>0.33333333333333331</v>
      </c>
      <c r="M22" s="246">
        <f t="shared" si="5"/>
        <v>0</v>
      </c>
      <c r="N22" s="349">
        <f>+M22/F22</f>
        <v>0</v>
      </c>
    </row>
    <row r="23" spans="1:14" x14ac:dyDescent="0.25">
      <c r="A23" s="2"/>
      <c r="B23" s="203" t="s">
        <v>30</v>
      </c>
      <c r="C23" s="4"/>
      <c r="D23" s="196">
        <f>SUM(D20:D22)</f>
        <v>0</v>
      </c>
      <c r="E23" s="24">
        <f>SUM(E20:E22)</f>
        <v>0</v>
      </c>
      <c r="F23" s="24">
        <f>SUM(G20:G22)</f>
        <v>0</v>
      </c>
      <c r="G23" s="197">
        <f>SUM(J20:J22)</f>
        <v>0</v>
      </c>
      <c r="H23" s="197">
        <f>SUM(K20:K22)</f>
        <v>1</v>
      </c>
      <c r="J23" s="237">
        <f t="shared" si="4"/>
        <v>0</v>
      </c>
      <c r="K23" s="347"/>
      <c r="M23" s="237">
        <f t="shared" si="5"/>
        <v>0</v>
      </c>
      <c r="N23" s="347"/>
    </row>
    <row r="24" spans="1:14" x14ac:dyDescent="0.25">
      <c r="A24" s="1"/>
      <c r="B24" s="204"/>
      <c r="C24" s="3"/>
      <c r="D24" s="198"/>
      <c r="E24" s="39"/>
      <c r="F24" s="39"/>
      <c r="G24" s="199"/>
      <c r="H24" s="199"/>
      <c r="J24" s="237">
        <f t="shared" si="4"/>
        <v>0</v>
      </c>
      <c r="K24" s="347"/>
      <c r="M24" s="237">
        <f t="shared" si="5"/>
        <v>0</v>
      </c>
      <c r="N24" s="347"/>
    </row>
    <row r="25" spans="1:14" ht="15.75" thickBot="1" x14ac:dyDescent="0.3">
      <c r="A25" s="1"/>
      <c r="B25" s="206" t="s">
        <v>31</v>
      </c>
      <c r="C25" s="4"/>
      <c r="D25" s="200">
        <f>D6-D13-D18-D23</f>
        <v>-36903.930000000168</v>
      </c>
      <c r="E25" s="201">
        <f>E6-E13-E18-E23</f>
        <v>28986.581333555747</v>
      </c>
      <c r="F25" s="201">
        <f>F6-F13-F18-F23</f>
        <v>-60194.456100000069</v>
      </c>
      <c r="G25" s="201">
        <f>G6-G13-G18-G23</f>
        <v>514275</v>
      </c>
      <c r="H25" s="201">
        <f>H6-H13-H18-H23</f>
        <v>100946.61514451556</v>
      </c>
      <c r="J25" s="241">
        <f t="shared" si="4"/>
        <v>-65890.511333555914</v>
      </c>
      <c r="K25" s="353">
        <f>+J25/E25</f>
        <v>-2.2731384075734056</v>
      </c>
      <c r="M25" s="241">
        <f t="shared" si="5"/>
        <v>89181.037433555815</v>
      </c>
      <c r="N25" s="353"/>
    </row>
    <row r="26" spans="1:14" x14ac:dyDescent="0.25">
      <c r="A26" s="1"/>
      <c r="B26" s="2"/>
      <c r="C26" s="4"/>
      <c r="D26" s="47"/>
      <c r="E26" s="47"/>
      <c r="F26" s="47"/>
      <c r="G26" s="47"/>
      <c r="H26" s="47"/>
      <c r="J26" s="231"/>
      <c r="K26" s="231"/>
      <c r="M26" s="231"/>
      <c r="N26" s="231"/>
    </row>
    <row r="27" spans="1:14" ht="15.75" thickBot="1" x14ac:dyDescent="0.3">
      <c r="A27" s="1"/>
      <c r="B27" s="48"/>
      <c r="C27" s="49"/>
      <c r="D27" s="3"/>
      <c r="E27" s="3"/>
      <c r="F27" s="3"/>
      <c r="G27" s="3"/>
      <c r="H27" s="3"/>
      <c r="J27" s="3"/>
      <c r="K27" s="354"/>
      <c r="M27" s="3"/>
      <c r="N27" s="354"/>
    </row>
    <row r="28" spans="1:14" ht="15.75" thickBot="1" x14ac:dyDescent="0.3">
      <c r="A28" s="1"/>
      <c r="B28" s="208" t="s">
        <v>35</v>
      </c>
      <c r="C28" s="4"/>
      <c r="D28" s="62"/>
      <c r="E28" s="62"/>
      <c r="F28" s="62"/>
      <c r="G28" s="62"/>
      <c r="H28" s="62"/>
      <c r="J28" s="62"/>
      <c r="K28" s="355"/>
      <c r="M28" s="62"/>
      <c r="N28" s="355"/>
    </row>
    <row r="29" spans="1:14" ht="15.75" thickBot="1" x14ac:dyDescent="0.3">
      <c r="A29" s="1"/>
      <c r="B29" s="48"/>
      <c r="C29" s="49"/>
      <c r="D29" s="59"/>
      <c r="E29" s="59"/>
      <c r="F29" s="59"/>
      <c r="G29" s="59"/>
      <c r="H29" s="59"/>
      <c r="J29" s="59"/>
      <c r="K29" s="356"/>
      <c r="M29" s="59"/>
      <c r="N29" s="356"/>
    </row>
    <row r="30" spans="1:14" ht="15.75" thickBot="1" x14ac:dyDescent="0.3">
      <c r="A30" s="1"/>
      <c r="B30" s="209" t="s">
        <v>37</v>
      </c>
      <c r="C30" s="4"/>
      <c r="D30" s="191" t="str">
        <f>D3</f>
        <v>BUDGET 2022</v>
      </c>
      <c r="E30" s="191" t="str">
        <f t="shared" ref="E30:H30" si="6">E3</f>
        <v>ACTUAL 2021</v>
      </c>
      <c r="F30" s="191" t="str">
        <f t="shared" si="6"/>
        <v>BUDGET 2021</v>
      </c>
      <c r="G30" s="191" t="str">
        <f t="shared" si="6"/>
        <v>ACTUAL 2020</v>
      </c>
      <c r="H30" s="191" t="str">
        <f t="shared" si="6"/>
        <v>ACTUAL 2019</v>
      </c>
      <c r="J30" s="235" t="str">
        <f>+J$3</f>
        <v>B 2022 vs Act 2021</v>
      </c>
      <c r="K30" s="372" t="str">
        <f>+K$3</f>
        <v>%</v>
      </c>
      <c r="M30" s="235" t="str">
        <f>+M$3</f>
        <v>Act 2021 vs Bud 2021</v>
      </c>
      <c r="N30" s="372" t="str">
        <f>+N$3</f>
        <v>%</v>
      </c>
    </row>
    <row r="31" spans="1:14" x14ac:dyDescent="0.25">
      <c r="A31" s="1"/>
      <c r="B31" s="204" t="s">
        <v>38</v>
      </c>
      <c r="C31" s="3"/>
      <c r="D31" s="213">
        <f>'NOT TO USE.'!D31</f>
        <v>2471484</v>
      </c>
      <c r="E31" s="311">
        <f>'NOT TO USE.'!E31</f>
        <v>2286117</v>
      </c>
      <c r="F31" s="311">
        <f>'NOT TO USE.'!G31</f>
        <v>2285996.9399999995</v>
      </c>
      <c r="G31" s="229">
        <f>'NOT TO USE.'!H31</f>
        <v>2286117</v>
      </c>
      <c r="H31" s="229">
        <f>'NOT TO USE.'!J31</f>
        <v>2447052</v>
      </c>
      <c r="J31" s="360">
        <f t="shared" ref="J31:J41" si="7">D31-E31</f>
        <v>185367</v>
      </c>
      <c r="K31" s="363">
        <f>+J31/E31</f>
        <v>8.1083776552118722E-2</v>
      </c>
      <c r="M31" s="360">
        <f t="shared" ref="M31:M41" si="8">E31-F31</f>
        <v>120.06000000052154</v>
      </c>
      <c r="N31" s="363">
        <f>+M31/F31</f>
        <v>5.2519755341632947E-5</v>
      </c>
    </row>
    <row r="32" spans="1:14" x14ac:dyDescent="0.25">
      <c r="A32" s="1"/>
      <c r="B32" s="204" t="s">
        <v>39</v>
      </c>
      <c r="C32" s="3"/>
      <c r="D32" s="213">
        <f>'NOT TO USE.'!D32</f>
        <v>70140</v>
      </c>
      <c r="E32" s="311">
        <f>'NOT TO USE.'!E32</f>
        <v>70140</v>
      </c>
      <c r="F32" s="311">
        <f>'NOT TO USE.'!G32</f>
        <v>70140</v>
      </c>
      <c r="G32" s="229">
        <f>'NOT TO USE.'!H32</f>
        <v>70140</v>
      </c>
      <c r="H32" s="229">
        <f>'NOT TO USE.'!J32</f>
        <v>69708</v>
      </c>
      <c r="J32" s="360">
        <f t="shared" si="7"/>
        <v>0</v>
      </c>
      <c r="K32" s="363">
        <f>+J32/E32</f>
        <v>0</v>
      </c>
      <c r="M32" s="360">
        <f t="shared" si="8"/>
        <v>0</v>
      </c>
      <c r="N32" s="363">
        <f>+M32/F32</f>
        <v>0</v>
      </c>
    </row>
    <row r="33" spans="1:14" x14ac:dyDescent="0.25">
      <c r="A33" s="1"/>
      <c r="B33" s="204" t="s">
        <v>40</v>
      </c>
      <c r="C33" s="3"/>
      <c r="D33" s="213">
        <f>'NOT TO USE.'!D33</f>
        <v>0</v>
      </c>
      <c r="E33" s="311">
        <f>'NOT TO USE.'!E33</f>
        <v>0</v>
      </c>
      <c r="F33" s="311">
        <f>'NOT TO USE.'!G33</f>
        <v>0</v>
      </c>
      <c r="G33" s="229">
        <f>'NOT TO USE.'!H33</f>
        <v>0</v>
      </c>
      <c r="H33" s="229">
        <f>'NOT TO USE.'!J33</f>
        <v>0</v>
      </c>
      <c r="J33" s="360">
        <f t="shared" si="7"/>
        <v>0</v>
      </c>
      <c r="K33" s="363"/>
      <c r="M33" s="360">
        <f t="shared" si="8"/>
        <v>0</v>
      </c>
      <c r="N33" s="363"/>
    </row>
    <row r="34" spans="1:14" x14ac:dyDescent="0.25">
      <c r="A34" s="1"/>
      <c r="B34" s="204" t="s">
        <v>41</v>
      </c>
      <c r="C34" s="3"/>
      <c r="D34" s="213">
        <f>'NOT TO USE.'!D34</f>
        <v>438000</v>
      </c>
      <c r="E34" s="311">
        <f>'NOT TO USE.'!E34</f>
        <v>285641.89</v>
      </c>
      <c r="F34" s="311">
        <f>'NOT TO USE.'!G34</f>
        <v>420083.36999999988</v>
      </c>
      <c r="G34" s="229">
        <f>'NOT TO USE.'!H34</f>
        <v>201459</v>
      </c>
      <c r="H34" s="229">
        <f>'NOT TO USE.'!J34</f>
        <v>426574</v>
      </c>
      <c r="J34" s="360">
        <f t="shared" si="7"/>
        <v>152358.10999999999</v>
      </c>
      <c r="K34" s="363">
        <f>+J34/E34</f>
        <v>0.53338853765461358</v>
      </c>
      <c r="M34" s="360">
        <f t="shared" si="8"/>
        <v>-134441.47999999986</v>
      </c>
      <c r="N34" s="363">
        <f>+M34/F34</f>
        <v>-0.3200352349106319</v>
      </c>
    </row>
    <row r="35" spans="1:14" x14ac:dyDescent="0.25">
      <c r="A35" s="1"/>
      <c r="B35" s="204" t="s">
        <v>42</v>
      </c>
      <c r="C35" s="3"/>
      <c r="D35" s="213">
        <f>'NOT TO USE.'!D35</f>
        <v>21840</v>
      </c>
      <c r="E35" s="311">
        <f>'NOT TO USE.'!E35</f>
        <v>18627.13</v>
      </c>
      <c r="F35" s="311">
        <f>'NOT TO USE.'!G35</f>
        <v>12850</v>
      </c>
      <c r="G35" s="229">
        <f>'NOT TO USE.'!H35</f>
        <v>9412</v>
      </c>
      <c r="H35" s="229">
        <f>'NOT TO USE.'!J35</f>
        <v>18165</v>
      </c>
      <c r="J35" s="360">
        <f t="shared" si="7"/>
        <v>3212.869999999999</v>
      </c>
      <c r="K35" s="363">
        <f>+J35/E35</f>
        <v>0.17248336163434724</v>
      </c>
      <c r="M35" s="360">
        <f t="shared" si="8"/>
        <v>5777.130000000001</v>
      </c>
      <c r="N35" s="363">
        <f>+M35/F35</f>
        <v>0.44958210116731523</v>
      </c>
    </row>
    <row r="36" spans="1:14" x14ac:dyDescent="0.25">
      <c r="A36" s="1"/>
      <c r="B36" s="204" t="s">
        <v>43</v>
      </c>
      <c r="C36" s="3"/>
      <c r="D36" s="213">
        <f>'NOT TO USE.'!D36</f>
        <v>55488</v>
      </c>
      <c r="E36" s="311">
        <f>'NOT TO USE.'!E36</f>
        <v>51901.59</v>
      </c>
      <c r="F36" s="311">
        <f>'NOT TO USE.'!G36</f>
        <v>36460</v>
      </c>
      <c r="G36" s="229">
        <f>'NOT TO USE.'!H36</f>
        <v>26764</v>
      </c>
      <c r="H36" s="229">
        <f>'NOT TO USE.'!J36</f>
        <v>55457</v>
      </c>
      <c r="J36" s="360">
        <f t="shared" si="7"/>
        <v>3586.4100000000035</v>
      </c>
      <c r="K36" s="363">
        <f>+J36/E36</f>
        <v>6.9100195196332204E-2</v>
      </c>
      <c r="M36" s="360">
        <f t="shared" si="8"/>
        <v>15441.589999999997</v>
      </c>
      <c r="N36" s="363">
        <f>+M36/F36</f>
        <v>0.42352139330773442</v>
      </c>
    </row>
    <row r="37" spans="1:14" x14ac:dyDescent="0.25">
      <c r="A37" s="1"/>
      <c r="B37" s="204" t="s">
        <v>44</v>
      </c>
      <c r="C37" s="3"/>
      <c r="D37" s="213">
        <f>'NOT TO USE.'!D37</f>
        <v>14400</v>
      </c>
      <c r="E37" s="311">
        <f>'NOT TO USE.'!E37</f>
        <v>16546</v>
      </c>
      <c r="F37" s="311">
        <f>'NOT TO USE.'!G37</f>
        <v>0</v>
      </c>
      <c r="G37" s="229">
        <f>'NOT TO USE.'!H37</f>
        <v>-7226</v>
      </c>
      <c r="H37" s="229">
        <f>'NOT TO USE.'!J37</f>
        <v>5782</v>
      </c>
      <c r="J37" s="360">
        <f t="shared" si="7"/>
        <v>-2146</v>
      </c>
      <c r="K37" s="363">
        <f>+J37/E37</f>
        <v>-0.12969902091139854</v>
      </c>
      <c r="M37" s="360">
        <f t="shared" si="8"/>
        <v>16546</v>
      </c>
      <c r="N37" s="363" t="e">
        <f>+M37/F37</f>
        <v>#DIV/0!</v>
      </c>
    </row>
    <row r="38" spans="1:14" x14ac:dyDescent="0.25">
      <c r="A38" s="1"/>
      <c r="B38" s="204" t="s">
        <v>45</v>
      </c>
      <c r="C38" s="3"/>
      <c r="D38" s="213">
        <f>'NOT TO USE.'!D38</f>
        <v>2016</v>
      </c>
      <c r="E38" s="311">
        <f>'NOT TO USE.'!E38</f>
        <v>1820.0400000000002</v>
      </c>
      <c r="F38" s="311">
        <f>'NOT TO USE.'!G38</f>
        <v>1820</v>
      </c>
      <c r="G38" s="229">
        <f>'NOT TO USE.'!H38</f>
        <v>1193</v>
      </c>
      <c r="H38" s="229">
        <f>'NOT TO USE.'!J38</f>
        <v>486</v>
      </c>
      <c r="J38" s="360">
        <f t="shared" si="7"/>
        <v>195.95999999999981</v>
      </c>
      <c r="K38" s="363">
        <f>+J38/E38</f>
        <v>0.1076679633414649</v>
      </c>
      <c r="M38" s="360">
        <f t="shared" si="8"/>
        <v>4.0000000000190994E-2</v>
      </c>
      <c r="N38" s="363">
        <f>+M38/F38</f>
        <v>2.1978021978126921E-5</v>
      </c>
    </row>
    <row r="39" spans="1:14" x14ac:dyDescent="0.25">
      <c r="A39" s="1"/>
      <c r="B39" s="204" t="s">
        <v>46</v>
      </c>
      <c r="C39" s="3"/>
      <c r="D39" s="213">
        <f>'NOT TO USE.'!D39</f>
        <v>0</v>
      </c>
      <c r="E39" s="311">
        <f>'NOT TO USE.'!E39</f>
        <v>0</v>
      </c>
      <c r="F39" s="311">
        <f>'NOT TO USE.'!G39</f>
        <v>0</v>
      </c>
      <c r="G39" s="229">
        <f>'NOT TO USE.'!H39</f>
        <v>0</v>
      </c>
      <c r="H39" s="229">
        <f>'NOT TO USE.'!J39</f>
        <v>0</v>
      </c>
      <c r="J39" s="360">
        <f t="shared" si="7"/>
        <v>0</v>
      </c>
      <c r="K39" s="363"/>
      <c r="M39" s="360">
        <f t="shared" si="8"/>
        <v>0</v>
      </c>
      <c r="N39" s="363"/>
    </row>
    <row r="40" spans="1:14" ht="15.75" thickBot="1" x14ac:dyDescent="0.3">
      <c r="A40" s="1"/>
      <c r="B40" s="205" t="s">
        <v>47</v>
      </c>
      <c r="C40" s="3"/>
      <c r="D40" s="329">
        <f>'NOT TO USE.'!D40</f>
        <v>250</v>
      </c>
      <c r="E40" s="312">
        <f>'NOT TO USE.'!E40</f>
        <v>121.71000000000001</v>
      </c>
      <c r="F40" s="312">
        <f>'NOT TO USE.'!G40</f>
        <v>125</v>
      </c>
      <c r="G40" s="230">
        <f>'NOT TO USE.'!H40</f>
        <v>191</v>
      </c>
      <c r="H40" s="230">
        <f>'NOT TO USE.'!J40</f>
        <v>2302</v>
      </c>
      <c r="J40" s="361">
        <f t="shared" si="7"/>
        <v>128.29</v>
      </c>
      <c r="K40" s="364">
        <f>+J40/E40</f>
        <v>1.0540629364883738</v>
      </c>
      <c r="M40" s="361">
        <f t="shared" si="8"/>
        <v>-3.289999999999992</v>
      </c>
      <c r="N40" s="364">
        <f>+M40/F40</f>
        <v>-2.6319999999999937E-2</v>
      </c>
    </row>
    <row r="41" spans="1:14" ht="15.75" thickBot="1" x14ac:dyDescent="0.3">
      <c r="A41" s="1"/>
      <c r="B41" s="210" t="s">
        <v>16</v>
      </c>
      <c r="C41" s="29"/>
      <c r="D41" s="223">
        <f>SUM(D31:D40)</f>
        <v>3073618</v>
      </c>
      <c r="E41" s="330">
        <f>SUM(E31:E40)</f>
        <v>2730915.36</v>
      </c>
      <c r="F41" s="330">
        <f>SUM(F31:F40)</f>
        <v>2827475.3099999996</v>
      </c>
      <c r="G41" s="330">
        <f>SUM(G31:G40)</f>
        <v>2588050</v>
      </c>
      <c r="H41" s="330">
        <f>SUM(H31:H40)</f>
        <v>3025526</v>
      </c>
      <c r="J41" s="362">
        <f t="shared" si="7"/>
        <v>342702.64000000013</v>
      </c>
      <c r="K41" s="365">
        <f>+J41/E41</f>
        <v>0.12549002617203051</v>
      </c>
      <c r="M41" s="362">
        <f t="shared" si="8"/>
        <v>-96559.949999999721</v>
      </c>
      <c r="N41" s="365">
        <f>+M41/F41</f>
        <v>-3.4150589983401036E-2</v>
      </c>
    </row>
    <row r="42" spans="1:14" ht="15.75" thickBot="1" x14ac:dyDescent="0.3">
      <c r="A42" s="1"/>
      <c r="B42" s="48"/>
      <c r="C42" s="49"/>
      <c r="D42" s="76"/>
      <c r="E42" s="232"/>
      <c r="F42" s="232"/>
      <c r="G42" s="232"/>
      <c r="H42" s="232"/>
      <c r="J42" s="76"/>
      <c r="K42" s="232"/>
      <c r="M42" s="76"/>
      <c r="N42" s="232"/>
    </row>
    <row r="43" spans="1:14" ht="15.75" thickBot="1" x14ac:dyDescent="0.3">
      <c r="A43" s="1"/>
      <c r="B43" s="208" t="s">
        <v>48</v>
      </c>
      <c r="C43" s="4"/>
      <c r="D43" s="9"/>
      <c r="E43" s="9"/>
      <c r="F43" s="9"/>
      <c r="G43" s="9"/>
      <c r="H43" s="9"/>
      <c r="J43" s="9"/>
      <c r="K43" s="357"/>
      <c r="M43" s="9"/>
      <c r="N43" s="357"/>
    </row>
    <row r="44" spans="1:14" x14ac:dyDescent="0.25">
      <c r="A44" s="1"/>
      <c r="B44" s="211" t="s">
        <v>49</v>
      </c>
      <c r="C44" s="3"/>
      <c r="D44" s="212">
        <f>+'NOT TO USE.'!D44</f>
        <v>216000</v>
      </c>
      <c r="E44" s="317">
        <f>+'NOT TO USE.'!E44</f>
        <v>204053</v>
      </c>
      <c r="F44" s="317">
        <f>+'NOT TO USE.'!G44</f>
        <v>229200</v>
      </c>
      <c r="G44" s="318">
        <f>+'NOT TO USE.'!H44</f>
        <v>169941</v>
      </c>
      <c r="H44" s="318">
        <f>+'NOT TO USE.'!J44</f>
        <v>167516</v>
      </c>
      <c r="J44" s="236">
        <f t="shared" ref="J44:J51" si="9">D44-E44</f>
        <v>11947</v>
      </c>
      <c r="K44" s="366">
        <f>+J44/E44</f>
        <v>5.8548514356564225E-2</v>
      </c>
      <c r="M44" s="236">
        <f t="shared" ref="M44:M51" si="10">E44-F44</f>
        <v>-25147</v>
      </c>
      <c r="N44" s="366">
        <f>+M44/F44</f>
        <v>-0.10971640488656195</v>
      </c>
    </row>
    <row r="45" spans="1:14" x14ac:dyDescent="0.25">
      <c r="A45" s="1"/>
      <c r="B45" s="204" t="s">
        <v>50</v>
      </c>
      <c r="C45" s="3"/>
      <c r="D45" s="213">
        <f>+'NOT TO USE.'!D45</f>
        <v>24000</v>
      </c>
      <c r="E45" s="311">
        <f>+'NOT TO USE.'!E45</f>
        <v>18740</v>
      </c>
      <c r="F45" s="311">
        <f>+'NOT TO USE.'!G45</f>
        <v>24000</v>
      </c>
      <c r="G45" s="229">
        <f>+'NOT TO USE.'!H45</f>
        <v>19384</v>
      </c>
      <c r="H45" s="229">
        <f>+'NOT TO USE.'!J45</f>
        <v>21411</v>
      </c>
      <c r="J45" s="237">
        <f t="shared" si="9"/>
        <v>5260</v>
      </c>
      <c r="K45" s="347">
        <f>+J45/E45</f>
        <v>0.28068303094983993</v>
      </c>
      <c r="M45" s="237">
        <f t="shared" si="10"/>
        <v>-5260</v>
      </c>
      <c r="N45" s="347">
        <f>+M45/F45</f>
        <v>-0.21916666666666668</v>
      </c>
    </row>
    <row r="46" spans="1:14" x14ac:dyDescent="0.25">
      <c r="A46" s="1"/>
      <c r="B46" s="204" t="s">
        <v>51</v>
      </c>
      <c r="C46" s="3"/>
      <c r="D46" s="213">
        <f>+'NOT TO USE.'!D46</f>
        <v>18000</v>
      </c>
      <c r="E46" s="311">
        <f>+'NOT TO USE.'!E46</f>
        <v>15613</v>
      </c>
      <c r="F46" s="311">
        <f>+'NOT TO USE.'!G46</f>
        <v>12600</v>
      </c>
      <c r="G46" s="229">
        <f>+'NOT TO USE.'!H46</f>
        <v>14908</v>
      </c>
      <c r="H46" s="229">
        <f>+'NOT TO USE.'!J46</f>
        <v>10743</v>
      </c>
      <c r="J46" s="237">
        <f t="shared" si="9"/>
        <v>2387</v>
      </c>
      <c r="K46" s="347">
        <f>+J46/E46</f>
        <v>0.1528854159994876</v>
      </c>
      <c r="M46" s="237">
        <f t="shared" si="10"/>
        <v>3013</v>
      </c>
      <c r="N46" s="347">
        <f>+M46/F46</f>
        <v>0.23912698412698413</v>
      </c>
    </row>
    <row r="47" spans="1:14" x14ac:dyDescent="0.25">
      <c r="A47" s="1"/>
      <c r="B47" s="204" t="s">
        <v>52</v>
      </c>
      <c r="C47" s="3"/>
      <c r="D47" s="213">
        <f>+'NOT TO USE.'!D47</f>
        <v>0</v>
      </c>
      <c r="E47" s="311">
        <f>+'NOT TO USE.'!E47</f>
        <v>0</v>
      </c>
      <c r="F47" s="311">
        <f>+'NOT TO USE.'!G47</f>
        <v>0</v>
      </c>
      <c r="G47" s="229">
        <f>+'NOT TO USE.'!H47</f>
        <v>0</v>
      </c>
      <c r="H47" s="229">
        <f>+'NOT TO USE.'!J47</f>
        <v>0</v>
      </c>
      <c r="J47" s="237">
        <f t="shared" si="9"/>
        <v>0</v>
      </c>
      <c r="K47" s="347"/>
      <c r="M47" s="237">
        <f t="shared" si="10"/>
        <v>0</v>
      </c>
      <c r="N47" s="347"/>
    </row>
    <row r="48" spans="1:14" x14ac:dyDescent="0.25">
      <c r="A48" s="1"/>
      <c r="B48" s="204" t="s">
        <v>53</v>
      </c>
      <c r="C48" s="3"/>
      <c r="D48" s="213">
        <f>+'NOT TO USE.'!D48</f>
        <v>0</v>
      </c>
      <c r="E48" s="311">
        <f>+'NOT TO USE.'!E48</f>
        <v>0</v>
      </c>
      <c r="F48" s="311">
        <f>+'NOT TO USE.'!G48</f>
        <v>0</v>
      </c>
      <c r="G48" s="229">
        <f>+'NOT TO USE.'!H48</f>
        <v>0</v>
      </c>
      <c r="H48" s="229">
        <f>+'NOT TO USE.'!J48</f>
        <v>0</v>
      </c>
      <c r="J48" s="237">
        <f t="shared" si="9"/>
        <v>0</v>
      </c>
      <c r="K48" s="347"/>
      <c r="M48" s="237">
        <f t="shared" si="10"/>
        <v>0</v>
      </c>
      <c r="N48" s="347"/>
    </row>
    <row r="49" spans="1:14" x14ac:dyDescent="0.25">
      <c r="A49" s="1"/>
      <c r="B49" s="204" t="s">
        <v>54</v>
      </c>
      <c r="C49" s="3"/>
      <c r="D49" s="213">
        <f>+'NOT TO USE.'!D49</f>
        <v>28800</v>
      </c>
      <c r="E49" s="311">
        <f>+'NOT TO USE.'!E49</f>
        <v>23214</v>
      </c>
      <c r="F49" s="311">
        <f>+'NOT TO USE.'!G49</f>
        <v>32664</v>
      </c>
      <c r="G49" s="229">
        <f>+'NOT TO USE.'!H49</f>
        <v>19158</v>
      </c>
      <c r="H49" s="229">
        <f>+'NOT TO USE.'!J49</f>
        <v>18282</v>
      </c>
      <c r="J49" s="237">
        <f t="shared" si="9"/>
        <v>5586</v>
      </c>
      <c r="K49" s="347">
        <f>+J49/E49</f>
        <v>0.24063065391574051</v>
      </c>
      <c r="M49" s="237">
        <f t="shared" si="10"/>
        <v>-9450</v>
      </c>
      <c r="N49" s="347">
        <f>+M49/F49</f>
        <v>-0.28930933137398973</v>
      </c>
    </row>
    <row r="50" spans="1:14" x14ac:dyDescent="0.25">
      <c r="A50" s="1"/>
      <c r="B50" s="205"/>
      <c r="C50" s="3"/>
      <c r="D50" s="214"/>
      <c r="E50" s="314"/>
      <c r="F50" s="314"/>
      <c r="G50" s="230"/>
      <c r="H50" s="230"/>
      <c r="J50" s="246">
        <f t="shared" si="9"/>
        <v>0</v>
      </c>
      <c r="K50" s="349"/>
      <c r="M50" s="246">
        <f t="shared" si="10"/>
        <v>0</v>
      </c>
      <c r="N50" s="349"/>
    </row>
    <row r="51" spans="1:14" ht="15.75" thickBot="1" x14ac:dyDescent="0.3">
      <c r="A51" s="1"/>
      <c r="B51" s="210" t="s">
        <v>55</v>
      </c>
      <c r="C51" s="4"/>
      <c r="D51" s="223">
        <f>SUM(D44:D49)</f>
        <v>286800</v>
      </c>
      <c r="E51" s="319">
        <f>SUM(E44:E49)</f>
        <v>261620</v>
      </c>
      <c r="F51" s="319">
        <f>SUM(F44:F49)</f>
        <v>298464</v>
      </c>
      <c r="G51" s="319">
        <f>SUM(G44:G49)</f>
        <v>223391</v>
      </c>
      <c r="H51" s="319">
        <f>SUM(H44:H49)</f>
        <v>217952</v>
      </c>
      <c r="J51" s="241">
        <f t="shared" si="9"/>
        <v>25180</v>
      </c>
      <c r="K51" s="353">
        <f>+J51/E51</f>
        <v>9.6246464337588863E-2</v>
      </c>
      <c r="M51" s="241">
        <f t="shared" si="10"/>
        <v>-36844</v>
      </c>
      <c r="N51" s="353">
        <f>+M51/F51</f>
        <v>-0.12344537364640291</v>
      </c>
    </row>
    <row r="52" spans="1:14" ht="15.75" thickBot="1" x14ac:dyDescent="0.3">
      <c r="A52" s="1"/>
      <c r="B52" s="48"/>
      <c r="C52" s="49"/>
      <c r="D52" s="76"/>
      <c r="E52" s="232"/>
      <c r="F52" s="344"/>
      <c r="G52" s="344"/>
      <c r="H52" s="344"/>
      <c r="J52" s="76"/>
      <c r="K52" s="232"/>
      <c r="M52" s="76"/>
      <c r="N52" s="232"/>
    </row>
    <row r="53" spans="1:14" ht="15.75" thickBot="1" x14ac:dyDescent="0.3">
      <c r="A53" s="1"/>
      <c r="B53" s="208" t="s">
        <v>56</v>
      </c>
      <c r="C53" s="4"/>
      <c r="D53" s="9"/>
      <c r="E53" s="9"/>
      <c r="F53" s="9"/>
      <c r="G53" s="9"/>
      <c r="H53" s="9"/>
      <c r="J53" s="9"/>
      <c r="K53" s="357"/>
      <c r="M53" s="9"/>
      <c r="N53" s="357"/>
    </row>
    <row r="54" spans="1:14" x14ac:dyDescent="0.25">
      <c r="A54" s="1"/>
      <c r="B54" s="211" t="s">
        <v>57</v>
      </c>
      <c r="C54" s="3"/>
      <c r="D54" s="212">
        <f>+'NOT TO USE.'!D54</f>
        <v>1860</v>
      </c>
      <c r="E54" s="317">
        <f>+'NOT TO USE.'!E54</f>
        <v>2040</v>
      </c>
      <c r="F54" s="317">
        <f>+'NOT TO USE.'!G54</f>
        <v>1860</v>
      </c>
      <c r="G54" s="317">
        <f>+'NOT TO USE.'!H54</f>
        <v>2180</v>
      </c>
      <c r="H54" s="317">
        <f>+'NOT TO USE.'!J54</f>
        <v>1860</v>
      </c>
      <c r="J54" s="236">
        <f t="shared" ref="J54:J65" si="11">D54-E54</f>
        <v>-180</v>
      </c>
      <c r="K54" s="366">
        <f>+J54/E54</f>
        <v>-8.8235294117647065E-2</v>
      </c>
      <c r="M54" s="236">
        <f t="shared" ref="M54:M65" si="12">E54-F54</f>
        <v>180</v>
      </c>
      <c r="N54" s="366">
        <f>+M54/F54</f>
        <v>9.6774193548387094E-2</v>
      </c>
    </row>
    <row r="55" spans="1:14" x14ac:dyDescent="0.25">
      <c r="A55" s="1"/>
      <c r="B55" s="204" t="s">
        <v>58</v>
      </c>
      <c r="C55" s="3"/>
      <c r="D55" s="213">
        <f>+'NOT TO USE.'!D55</f>
        <v>30000</v>
      </c>
      <c r="E55" s="311">
        <f>+'NOT TO USE.'!E55</f>
        <v>20318</v>
      </c>
      <c r="F55" s="311">
        <f>+'NOT TO USE.'!G55</f>
        <v>30000</v>
      </c>
      <c r="G55" s="311">
        <f>+'NOT TO USE.'!H55</f>
        <v>40711</v>
      </c>
      <c r="H55" s="311">
        <f>+'NOT TO USE.'!J55</f>
        <v>26905</v>
      </c>
      <c r="J55" s="237">
        <f t="shared" si="11"/>
        <v>9682</v>
      </c>
      <c r="K55" s="347">
        <f>+J55/E55</f>
        <v>0.47652327985037896</v>
      </c>
      <c r="M55" s="237">
        <f t="shared" si="12"/>
        <v>-9682</v>
      </c>
      <c r="N55" s="347">
        <f>+M55/F55</f>
        <v>-0.32273333333333332</v>
      </c>
    </row>
    <row r="56" spans="1:14" x14ac:dyDescent="0.25">
      <c r="A56" s="1"/>
      <c r="B56" s="204" t="s">
        <v>59</v>
      </c>
      <c r="C56" s="3"/>
      <c r="D56" s="213">
        <f>+'NOT TO USE.'!D56</f>
        <v>42000</v>
      </c>
      <c r="E56" s="311">
        <f>+'NOT TO USE.'!E56</f>
        <v>25953</v>
      </c>
      <c r="F56" s="311">
        <f>+'NOT TO USE.'!G56</f>
        <v>49200</v>
      </c>
      <c r="G56" s="311">
        <f>+'NOT TO USE.'!H56</f>
        <v>25231</v>
      </c>
      <c r="H56" s="311">
        <f>+'NOT TO USE.'!J56</f>
        <v>114706</v>
      </c>
      <c r="J56" s="237">
        <f t="shared" si="11"/>
        <v>16047</v>
      </c>
      <c r="K56" s="347">
        <f>+J56/E56</f>
        <v>0.61831002196277884</v>
      </c>
      <c r="M56" s="237">
        <f t="shared" si="12"/>
        <v>-23247</v>
      </c>
      <c r="N56" s="347">
        <f>+M56/F56</f>
        <v>-0.47249999999999998</v>
      </c>
    </row>
    <row r="57" spans="1:14" x14ac:dyDescent="0.25">
      <c r="A57" s="1"/>
      <c r="B57" s="204" t="s">
        <v>60</v>
      </c>
      <c r="C57" s="3"/>
      <c r="D57" s="213">
        <f>+'NOT TO USE.'!D57</f>
        <v>0</v>
      </c>
      <c r="E57" s="311">
        <f>+'NOT TO USE.'!E57</f>
        <v>0</v>
      </c>
      <c r="F57" s="311">
        <f>+'NOT TO USE.'!G57</f>
        <v>0</v>
      </c>
      <c r="G57" s="311">
        <f>+'NOT TO USE.'!H57</f>
        <v>0</v>
      </c>
      <c r="H57" s="311">
        <f>+'NOT TO USE.'!J57</f>
        <v>0</v>
      </c>
      <c r="J57" s="237">
        <f t="shared" si="11"/>
        <v>0</v>
      </c>
      <c r="K57" s="347"/>
      <c r="M57" s="237">
        <f t="shared" si="12"/>
        <v>0</v>
      </c>
      <c r="N57" s="347"/>
    </row>
    <row r="58" spans="1:14" x14ac:dyDescent="0.25">
      <c r="A58" s="1"/>
      <c r="B58" s="204" t="s">
        <v>61</v>
      </c>
      <c r="C58" s="3"/>
      <c r="D58" s="320">
        <f>+'NOT TO USE.'!D58</f>
        <v>549.95999999999992</v>
      </c>
      <c r="E58" s="321">
        <f>+'NOT TO USE.'!E58</f>
        <v>0</v>
      </c>
      <c r="F58" s="321">
        <f>+'NOT TO USE.'!G58</f>
        <v>550</v>
      </c>
      <c r="G58" s="311">
        <f>+'NOT TO USE.'!H58</f>
        <v>85</v>
      </c>
      <c r="H58" s="311">
        <f>+'NOT TO USE.'!J58</f>
        <v>256</v>
      </c>
      <c r="J58" s="237">
        <f t="shared" si="11"/>
        <v>549.95999999999992</v>
      </c>
      <c r="K58" s="347" t="e">
        <f>+J58/E58</f>
        <v>#DIV/0!</v>
      </c>
      <c r="M58" s="237">
        <f t="shared" si="12"/>
        <v>-550</v>
      </c>
      <c r="N58" s="347">
        <f>+M58/F58</f>
        <v>-1</v>
      </c>
    </row>
    <row r="59" spans="1:14" x14ac:dyDescent="0.25">
      <c r="A59" s="1"/>
      <c r="B59" s="204" t="s">
        <v>62</v>
      </c>
      <c r="C59" s="3"/>
      <c r="D59" s="320">
        <f>+'NOT TO USE.'!D59</f>
        <v>21671.300000000003</v>
      </c>
      <c r="E59" s="321">
        <f>+'NOT TO USE.'!E59</f>
        <v>18673</v>
      </c>
      <c r="F59" s="321">
        <f>+'NOT TO USE.'!G59</f>
        <v>18260.5</v>
      </c>
      <c r="G59" s="311">
        <f>+'NOT TO USE.'!H59</f>
        <v>9563</v>
      </c>
      <c r="H59" s="311">
        <f>+'NOT TO USE.'!J59</f>
        <v>9543</v>
      </c>
      <c r="J59" s="237">
        <f t="shared" si="11"/>
        <v>2998.3000000000029</v>
      </c>
      <c r="K59" s="347">
        <f>+J59/E59</f>
        <v>0.16056873560756188</v>
      </c>
      <c r="M59" s="237">
        <f t="shared" si="12"/>
        <v>412.5</v>
      </c>
      <c r="N59" s="347">
        <f>+M59/F59</f>
        <v>2.2589742887653679E-2</v>
      </c>
    </row>
    <row r="60" spans="1:14" x14ac:dyDescent="0.25">
      <c r="A60" s="1"/>
      <c r="B60" s="204" t="s">
        <v>63</v>
      </c>
      <c r="C60" s="3"/>
      <c r="D60" s="320">
        <f>+'NOT TO USE.'!D60</f>
        <v>49440</v>
      </c>
      <c r="E60" s="321">
        <f>+'NOT TO USE.'!E60</f>
        <v>49466</v>
      </c>
      <c r="F60" s="321">
        <f>+'NOT TO USE.'!G60</f>
        <v>49440</v>
      </c>
      <c r="G60" s="311">
        <f>+'NOT TO USE.'!H60</f>
        <v>38131</v>
      </c>
      <c r="H60" s="311">
        <f>+'NOT TO USE.'!J60</f>
        <v>51627</v>
      </c>
      <c r="J60" s="237">
        <f t="shared" si="11"/>
        <v>-26</v>
      </c>
      <c r="K60" s="347">
        <f>+J60/E60</f>
        <v>-5.2561355274329848E-4</v>
      </c>
      <c r="M60" s="237">
        <f t="shared" si="12"/>
        <v>26</v>
      </c>
      <c r="N60" s="347">
        <f>+M60/F60</f>
        <v>5.2588996763754049E-4</v>
      </c>
    </row>
    <row r="61" spans="1:14" x14ac:dyDescent="0.25">
      <c r="A61" s="1"/>
      <c r="B61" s="204" t="s">
        <v>25</v>
      </c>
      <c r="C61" s="3"/>
      <c r="D61" s="320">
        <f>+'NOT TO USE.'!D61</f>
        <v>698304.60000000009</v>
      </c>
      <c r="E61" s="321">
        <f>+'NOT TO USE.'!E61</f>
        <v>665051</v>
      </c>
      <c r="F61" s="321">
        <f>+'NOT TO USE.'!G61</f>
        <v>655057</v>
      </c>
      <c r="G61" s="311">
        <f>+'NOT TO USE.'!H61</f>
        <v>645686</v>
      </c>
      <c r="H61" s="311">
        <f>+'NOT TO USE.'!J61</f>
        <v>626880</v>
      </c>
      <c r="J61" s="237">
        <f t="shared" si="11"/>
        <v>33253.600000000093</v>
      </c>
      <c r="K61" s="347">
        <f>+J61/E61</f>
        <v>5.0001578826285642E-2</v>
      </c>
      <c r="M61" s="237">
        <f t="shared" si="12"/>
        <v>9994</v>
      </c>
      <c r="N61" s="347">
        <f>+M61/F61</f>
        <v>1.5256687585965802E-2</v>
      </c>
    </row>
    <row r="62" spans="1:14" x14ac:dyDescent="0.25">
      <c r="A62" s="1"/>
      <c r="B62" s="204" t="s">
        <v>64</v>
      </c>
      <c r="C62" s="3"/>
      <c r="D62" s="320">
        <f>+'NOT TO USE.'!D62</f>
        <v>24000</v>
      </c>
      <c r="E62" s="321">
        <f>+'NOT TO USE.'!E62</f>
        <v>18540</v>
      </c>
      <c r="F62" s="321">
        <f>+'NOT TO USE.'!G62</f>
        <v>24000</v>
      </c>
      <c r="G62" s="311">
        <f>+'NOT TO USE.'!H62</f>
        <v>23332</v>
      </c>
      <c r="H62" s="311">
        <f>+'NOT TO USE.'!J62</f>
        <v>34168</v>
      </c>
      <c r="J62" s="237">
        <f t="shared" si="11"/>
        <v>5460</v>
      </c>
      <c r="K62" s="347">
        <f>+J62/E62</f>
        <v>0.29449838187702265</v>
      </c>
      <c r="M62" s="237">
        <f t="shared" si="12"/>
        <v>-5460</v>
      </c>
      <c r="N62" s="347">
        <f>+M62/F62</f>
        <v>-0.22750000000000001</v>
      </c>
    </row>
    <row r="63" spans="1:14" x14ac:dyDescent="0.25">
      <c r="A63" s="1"/>
      <c r="B63" s="204" t="s">
        <v>65</v>
      </c>
      <c r="C63" s="3"/>
      <c r="D63" s="320">
        <f>+'NOT TO USE.'!D63</f>
        <v>0</v>
      </c>
      <c r="E63" s="321">
        <f>+'NOT TO USE.'!E63</f>
        <v>0</v>
      </c>
      <c r="F63" s="321">
        <f>+'NOT TO USE.'!G63</f>
        <v>0</v>
      </c>
      <c r="G63" s="311">
        <f>+'NOT TO USE.'!H63</f>
        <v>0</v>
      </c>
      <c r="H63" s="311">
        <f>+'NOT TO USE.'!J63</f>
        <v>0</v>
      </c>
      <c r="J63" s="237">
        <f t="shared" si="11"/>
        <v>0</v>
      </c>
      <c r="K63" s="347"/>
      <c r="M63" s="237">
        <f t="shared" si="12"/>
        <v>0</v>
      </c>
      <c r="N63" s="347"/>
    </row>
    <row r="64" spans="1:14" x14ac:dyDescent="0.25">
      <c r="A64" s="1"/>
      <c r="B64" s="205" t="s">
        <v>66</v>
      </c>
      <c r="C64" s="3"/>
      <c r="D64" s="214">
        <f>+'NOT TO USE.'!D64</f>
        <v>5600.04</v>
      </c>
      <c r="E64" s="314">
        <f>+'NOT TO USE.'!E64</f>
        <v>-250</v>
      </c>
      <c r="F64" s="314">
        <f>+'NOT TO USE.'!G64</f>
        <v>5600</v>
      </c>
      <c r="G64" s="314">
        <f>+'NOT TO USE.'!H64</f>
        <v>2665</v>
      </c>
      <c r="H64" s="314">
        <f>+'NOT TO USE.'!J64</f>
        <v>4800</v>
      </c>
      <c r="J64" s="246">
        <f t="shared" si="11"/>
        <v>5850.04</v>
      </c>
      <c r="K64" s="349">
        <f>+J64/E64</f>
        <v>-23.40016</v>
      </c>
      <c r="M64" s="246">
        <f t="shared" si="12"/>
        <v>-5850</v>
      </c>
      <c r="N64" s="349">
        <f>+M64/F64</f>
        <v>-1.0446428571428572</v>
      </c>
    </row>
    <row r="65" spans="1:14" ht="15.75" thickBot="1" x14ac:dyDescent="0.3">
      <c r="A65" s="1"/>
      <c r="B65" s="210" t="s">
        <v>67</v>
      </c>
      <c r="C65" s="4"/>
      <c r="D65" s="223">
        <f>SUM(D54:D64)</f>
        <v>873425.90000000014</v>
      </c>
      <c r="E65" s="319">
        <f>SUM(E54:E64)</f>
        <v>799791</v>
      </c>
      <c r="F65" s="319">
        <f>SUM(F54:F64)</f>
        <v>833967.5</v>
      </c>
      <c r="G65" s="319">
        <f>SUM(G54:G64)</f>
        <v>787584</v>
      </c>
      <c r="H65" s="319">
        <f>SUM(H54:H64)</f>
        <v>870745</v>
      </c>
      <c r="J65" s="242">
        <f t="shared" si="11"/>
        <v>73634.90000000014</v>
      </c>
      <c r="K65" s="353">
        <f>+J65/E65</f>
        <v>9.2067677680794283E-2</v>
      </c>
      <c r="M65" s="242">
        <f t="shared" si="12"/>
        <v>-34176.5</v>
      </c>
      <c r="N65" s="353">
        <f>+M65/F65</f>
        <v>-4.098061375293402E-2</v>
      </c>
    </row>
    <row r="66" spans="1:14" ht="15.75" thickBot="1" x14ac:dyDescent="0.3">
      <c r="A66" s="1"/>
      <c r="B66" s="48"/>
      <c r="C66" s="49"/>
      <c r="D66" s="57"/>
      <c r="E66" s="232"/>
      <c r="F66" s="344"/>
      <c r="G66" s="344"/>
      <c r="H66" s="344"/>
      <c r="J66" s="57"/>
      <c r="K66" s="232"/>
      <c r="M66" s="57"/>
      <c r="N66" s="232"/>
    </row>
    <row r="67" spans="1:14" ht="15.75" thickBot="1" x14ac:dyDescent="0.3">
      <c r="A67" s="1"/>
      <c r="B67" s="208" t="s">
        <v>68</v>
      </c>
      <c r="C67" s="4"/>
      <c r="D67" s="120"/>
      <c r="E67" s="120"/>
      <c r="F67" s="120"/>
      <c r="G67" s="120"/>
      <c r="H67" s="120"/>
      <c r="J67" s="120"/>
      <c r="K67" s="357"/>
      <c r="M67" s="120"/>
      <c r="N67" s="357"/>
    </row>
    <row r="68" spans="1:14" ht="15.75" thickBot="1" x14ac:dyDescent="0.3">
      <c r="A68" s="1"/>
      <c r="B68" s="220" t="s">
        <v>69</v>
      </c>
      <c r="C68" s="29"/>
      <c r="D68" s="217">
        <f>D41-D51-D65</f>
        <v>1913392.0999999999</v>
      </c>
      <c r="E68" s="218">
        <f>E41-E51-E65</f>
        <v>1669504.3599999999</v>
      </c>
      <c r="F68" s="218">
        <f>F41-F51-F65</f>
        <v>1695043.8099999996</v>
      </c>
      <c r="G68" s="219">
        <f>J41-J51-J65</f>
        <v>243887.74</v>
      </c>
      <c r="H68" s="219">
        <f>K41-K51-K65</f>
        <v>-6.2824115846352641E-2</v>
      </c>
      <c r="J68" s="243">
        <f>D68-E68</f>
        <v>243887.74</v>
      </c>
      <c r="K68" s="368">
        <f>+J68/E68</f>
        <v>0.14608391918185826</v>
      </c>
      <c r="M68" s="243">
        <f>E68-F68</f>
        <v>-25539.449999999721</v>
      </c>
      <c r="N68" s="368">
        <f>+M68/F68</f>
        <v>-1.506713268962631E-2</v>
      </c>
    </row>
    <row r="69" spans="1:14" x14ac:dyDescent="0.25">
      <c r="A69" s="1"/>
      <c r="B69" s="2"/>
      <c r="C69" s="4"/>
      <c r="D69" s="100"/>
      <c r="E69" s="233"/>
      <c r="F69" s="233"/>
      <c r="G69" s="233"/>
      <c r="H69" s="233"/>
      <c r="J69" s="100"/>
      <c r="K69" s="233"/>
      <c r="M69" s="100"/>
      <c r="N69" s="233"/>
    </row>
    <row r="70" spans="1:14" ht="15.75" thickBot="1" x14ac:dyDescent="0.3">
      <c r="A70" s="1"/>
      <c r="B70" s="48"/>
      <c r="C70" s="49"/>
      <c r="D70" s="76"/>
      <c r="E70" s="76"/>
      <c r="F70" s="76"/>
      <c r="G70" s="76"/>
      <c r="H70" s="76"/>
      <c r="J70" s="76"/>
      <c r="K70" s="232"/>
      <c r="M70" s="76"/>
      <c r="N70" s="232"/>
    </row>
    <row r="71" spans="1:14" ht="15.75" thickBot="1" x14ac:dyDescent="0.3">
      <c r="A71" s="1"/>
      <c r="B71" s="208" t="s">
        <v>70</v>
      </c>
      <c r="C71" s="4"/>
      <c r="D71" s="101"/>
      <c r="E71" s="101"/>
      <c r="F71" s="101"/>
      <c r="G71" s="101"/>
      <c r="H71" s="101"/>
      <c r="J71" s="101"/>
      <c r="K71" s="358"/>
      <c r="M71" s="101"/>
      <c r="N71" s="358"/>
    </row>
    <row r="72" spans="1:14" ht="15.75" thickBot="1" x14ac:dyDescent="0.3">
      <c r="A72" s="1"/>
      <c r="B72" s="48"/>
      <c r="C72" s="49"/>
      <c r="D72" s="103"/>
      <c r="E72" s="103"/>
      <c r="F72" s="103"/>
      <c r="G72" s="103"/>
      <c r="H72" s="103"/>
      <c r="J72" s="103"/>
      <c r="K72" s="356"/>
      <c r="M72" s="103"/>
      <c r="N72" s="356"/>
    </row>
    <row r="73" spans="1:14" ht="15.75" thickBot="1" x14ac:dyDescent="0.3">
      <c r="A73" s="1"/>
      <c r="B73" s="208" t="s">
        <v>48</v>
      </c>
      <c r="C73" s="4"/>
      <c r="D73" s="224" t="str">
        <f>D3</f>
        <v>BUDGET 2022</v>
      </c>
      <c r="E73" s="224" t="str">
        <f t="shared" ref="E73:H73" si="13">E3</f>
        <v>ACTUAL 2021</v>
      </c>
      <c r="F73" s="224" t="str">
        <f t="shared" si="13"/>
        <v>BUDGET 2021</v>
      </c>
      <c r="G73" s="224" t="str">
        <f t="shared" si="13"/>
        <v>ACTUAL 2020</v>
      </c>
      <c r="H73" s="224" t="str">
        <f t="shared" si="13"/>
        <v>ACTUAL 2019</v>
      </c>
      <c r="J73" s="235" t="str">
        <f>+J$3</f>
        <v>B 2022 vs Act 2021</v>
      </c>
      <c r="K73" s="372" t="str">
        <f>+K$3</f>
        <v>%</v>
      </c>
      <c r="M73" s="235" t="str">
        <f>+M$3</f>
        <v>Act 2021 vs Bud 2021</v>
      </c>
      <c r="N73" s="372" t="str">
        <f>+N$3</f>
        <v>%</v>
      </c>
    </row>
    <row r="74" spans="1:14" x14ac:dyDescent="0.25">
      <c r="A74" s="1"/>
      <c r="B74" s="204" t="s">
        <v>18</v>
      </c>
      <c r="C74" s="3"/>
      <c r="D74" s="213">
        <f>+'NOT TO USE.'!D74</f>
        <v>211200</v>
      </c>
      <c r="E74" s="31">
        <f>+'NOT TO USE.'!E74</f>
        <v>182144.05000000002</v>
      </c>
      <c r="F74" s="31">
        <f>+'NOT TO USE.'!G74</f>
        <v>192000</v>
      </c>
      <c r="G74" s="194">
        <f>+'NOT TO USE.'!H74</f>
        <v>131734</v>
      </c>
      <c r="H74" s="194">
        <f>+'NOT TO USE.'!J74</f>
        <v>200345</v>
      </c>
      <c r="J74" s="237">
        <f t="shared" ref="J74:J83" si="14">D74-E74</f>
        <v>29055.949999999983</v>
      </c>
      <c r="K74" s="347">
        <f t="shared" ref="K74:K81" si="15">+J74/E74</f>
        <v>0.15952181803358376</v>
      </c>
      <c r="M74" s="237">
        <f t="shared" ref="M74:M83" si="16">E74-F74</f>
        <v>-9855.9499999999825</v>
      </c>
      <c r="N74" s="347">
        <f t="shared" ref="N74:N81" si="17">+M74/F74</f>
        <v>-5.1333072916666576E-2</v>
      </c>
    </row>
    <row r="75" spans="1:14" x14ac:dyDescent="0.25">
      <c r="A75" s="1"/>
      <c r="B75" s="204" t="s">
        <v>71</v>
      </c>
      <c r="C75" s="3"/>
      <c r="D75" s="213">
        <f>+'NOT TO USE.'!D75</f>
        <v>165300</v>
      </c>
      <c r="E75" s="31">
        <f>+'NOT TO USE.'!E75</f>
        <v>148912.44999999998</v>
      </c>
      <c r="F75" s="31">
        <f>+'NOT TO USE.'!G75</f>
        <v>162000</v>
      </c>
      <c r="G75" s="194">
        <f>+'NOT TO USE.'!H75</f>
        <v>97670</v>
      </c>
      <c r="H75" s="194">
        <f>+'NOT TO USE.'!J75</f>
        <v>150261</v>
      </c>
      <c r="J75" s="237">
        <f t="shared" si="14"/>
        <v>16387.550000000017</v>
      </c>
      <c r="K75" s="347">
        <f t="shared" si="15"/>
        <v>0.11004821960823302</v>
      </c>
      <c r="M75" s="237">
        <f t="shared" si="16"/>
        <v>-13087.550000000017</v>
      </c>
      <c r="N75" s="347">
        <f t="shared" si="17"/>
        <v>-8.0787345679012454E-2</v>
      </c>
    </row>
    <row r="76" spans="1:14" x14ac:dyDescent="0.25">
      <c r="A76" s="1"/>
      <c r="B76" s="204" t="s">
        <v>72</v>
      </c>
      <c r="C76" s="3"/>
      <c r="D76" s="213">
        <f>+'NOT TO USE.'!D76</f>
        <v>10014</v>
      </c>
      <c r="E76" s="31">
        <f>+'NOT TO USE.'!E76</f>
        <v>10008</v>
      </c>
      <c r="F76" s="31">
        <f>+'NOT TO USE.'!G76</f>
        <v>10014</v>
      </c>
      <c r="G76" s="194">
        <f>+'NOT TO USE.'!H76</f>
        <v>10008</v>
      </c>
      <c r="H76" s="194">
        <f>+'NOT TO USE.'!J76</f>
        <v>10008</v>
      </c>
      <c r="J76" s="237">
        <f t="shared" si="14"/>
        <v>6</v>
      </c>
      <c r="K76" s="347">
        <f t="shared" si="15"/>
        <v>5.9952038369304552E-4</v>
      </c>
      <c r="M76" s="237">
        <f t="shared" si="16"/>
        <v>-6</v>
      </c>
      <c r="N76" s="347">
        <f t="shared" si="17"/>
        <v>-5.9916117435590175E-4</v>
      </c>
    </row>
    <row r="77" spans="1:14" x14ac:dyDescent="0.25">
      <c r="A77" s="1"/>
      <c r="B77" s="204" t="s">
        <v>50</v>
      </c>
      <c r="C77" s="3"/>
      <c r="D77" s="213">
        <f>+'NOT TO USE.'!D77</f>
        <v>36000</v>
      </c>
      <c r="E77" s="31">
        <f>+'NOT TO USE.'!E77</f>
        <v>33366.69</v>
      </c>
      <c r="F77" s="31">
        <f>+'NOT TO USE.'!G77</f>
        <v>36000</v>
      </c>
      <c r="G77" s="194">
        <f>+'NOT TO USE.'!H77</f>
        <v>24376</v>
      </c>
      <c r="H77" s="194">
        <f>+'NOT TO USE.'!J77</f>
        <v>38921</v>
      </c>
      <c r="J77" s="237">
        <f t="shared" si="14"/>
        <v>2633.3099999999977</v>
      </c>
      <c r="K77" s="347">
        <f t="shared" si="15"/>
        <v>7.8920324431341476E-2</v>
      </c>
      <c r="M77" s="237">
        <f t="shared" si="16"/>
        <v>-2633.3099999999977</v>
      </c>
      <c r="N77" s="347">
        <f t="shared" si="17"/>
        <v>-7.3147499999999935E-2</v>
      </c>
    </row>
    <row r="78" spans="1:14" x14ac:dyDescent="0.25">
      <c r="A78" s="1"/>
      <c r="B78" s="204" t="s">
        <v>73</v>
      </c>
      <c r="C78" s="3"/>
      <c r="D78" s="213">
        <f>+'NOT TO USE.'!D78</f>
        <v>25200</v>
      </c>
      <c r="E78" s="31">
        <f>+'NOT TO USE.'!E78</f>
        <v>23457.16</v>
      </c>
      <c r="F78" s="31">
        <f>+'NOT TO USE.'!G78</f>
        <v>16200</v>
      </c>
      <c r="G78" s="194">
        <f>+'NOT TO USE.'!H78</f>
        <v>16667</v>
      </c>
      <c r="H78" s="194">
        <f>+'NOT TO USE.'!J78</f>
        <v>21146</v>
      </c>
      <c r="J78" s="237">
        <f t="shared" si="14"/>
        <v>1742.8400000000001</v>
      </c>
      <c r="K78" s="347">
        <f t="shared" si="15"/>
        <v>7.4298849477089299E-2</v>
      </c>
      <c r="M78" s="237">
        <f t="shared" si="16"/>
        <v>7257.16</v>
      </c>
      <c r="N78" s="347">
        <f t="shared" si="17"/>
        <v>0.44797283950617284</v>
      </c>
    </row>
    <row r="79" spans="1:14" x14ac:dyDescent="0.25">
      <c r="A79" s="1"/>
      <c r="B79" s="204" t="s">
        <v>52</v>
      </c>
      <c r="C79" s="3"/>
      <c r="D79" s="213">
        <f>+'NOT TO USE.'!D79</f>
        <v>10240</v>
      </c>
      <c r="E79" s="31">
        <f>+'NOT TO USE.'!E79</f>
        <v>8392.91</v>
      </c>
      <c r="F79" s="31">
        <f>+'NOT TO USE.'!G79</f>
        <v>6240</v>
      </c>
      <c r="G79" s="194">
        <f>+'NOT TO USE.'!H79</f>
        <v>1694</v>
      </c>
      <c r="H79" s="194">
        <f>+'NOT TO USE.'!J79</f>
        <v>9944</v>
      </c>
      <c r="J79" s="237">
        <f t="shared" si="14"/>
        <v>1847.0900000000001</v>
      </c>
      <c r="K79" s="347">
        <f t="shared" si="15"/>
        <v>0.22007742249112647</v>
      </c>
      <c r="M79" s="237">
        <f t="shared" si="16"/>
        <v>2152.91</v>
      </c>
      <c r="N79" s="347">
        <f t="shared" si="17"/>
        <v>0.34501762820512816</v>
      </c>
    </row>
    <row r="80" spans="1:14" x14ac:dyDescent="0.25">
      <c r="A80" s="1"/>
      <c r="B80" s="204" t="s">
        <v>53</v>
      </c>
      <c r="C80" s="3"/>
      <c r="D80" s="213">
        <f>+'NOT TO USE.'!D80</f>
        <v>60000</v>
      </c>
      <c r="E80" s="31">
        <f>+'NOT TO USE.'!E80</f>
        <v>53206.06</v>
      </c>
      <c r="F80" s="31">
        <f>+'NOT TO USE.'!G80</f>
        <v>51600</v>
      </c>
      <c r="G80" s="194">
        <f>+'NOT TO USE.'!H80</f>
        <v>56229</v>
      </c>
      <c r="H80" s="194">
        <f>+'NOT TO USE.'!J80</f>
        <v>56976</v>
      </c>
      <c r="J80" s="237">
        <f t="shared" si="14"/>
        <v>6793.9400000000023</v>
      </c>
      <c r="K80" s="347">
        <f t="shared" si="15"/>
        <v>0.12769109383404828</v>
      </c>
      <c r="M80" s="237">
        <f t="shared" si="16"/>
        <v>1606.0599999999977</v>
      </c>
      <c r="N80" s="347">
        <f t="shared" si="17"/>
        <v>3.1125193798449566E-2</v>
      </c>
    </row>
    <row r="81" spans="1:14" x14ac:dyDescent="0.25">
      <c r="A81" s="1"/>
      <c r="B81" s="204" t="s">
        <v>54</v>
      </c>
      <c r="C81" s="3"/>
      <c r="D81" s="213">
        <f>+'NOT TO USE.'!D81</f>
        <v>38026.26</v>
      </c>
      <c r="E81" s="31">
        <f>+'NOT TO USE.'!E81</f>
        <v>33579.17</v>
      </c>
      <c r="F81" s="31">
        <f>+'NOT TO USE.'!G81</f>
        <v>42000</v>
      </c>
      <c r="G81" s="194">
        <f>+'NOT TO USE.'!H81</f>
        <v>23020</v>
      </c>
      <c r="H81" s="194">
        <f>+'NOT TO USE.'!J81</f>
        <v>34030</v>
      </c>
      <c r="J81" s="237">
        <f t="shared" si="14"/>
        <v>4447.0900000000038</v>
      </c>
      <c r="K81" s="347">
        <f t="shared" si="15"/>
        <v>0.13243597146683506</v>
      </c>
      <c r="M81" s="237">
        <f t="shared" si="16"/>
        <v>-8420.8300000000017</v>
      </c>
      <c r="N81" s="347">
        <f t="shared" si="17"/>
        <v>-0.20049595238095241</v>
      </c>
    </row>
    <row r="82" spans="1:14" x14ac:dyDescent="0.25">
      <c r="A82" s="1"/>
      <c r="B82" s="205"/>
      <c r="C82" s="3"/>
      <c r="D82" s="214"/>
      <c r="E82" s="34"/>
      <c r="F82" s="34"/>
      <c r="G82" s="195"/>
      <c r="H82" s="195"/>
      <c r="J82" s="246">
        <f t="shared" si="14"/>
        <v>0</v>
      </c>
      <c r="K82" s="349"/>
      <c r="M82" s="246">
        <f t="shared" si="16"/>
        <v>0</v>
      </c>
      <c r="N82" s="349"/>
    </row>
    <row r="83" spans="1:14" ht="15.75" thickBot="1" x14ac:dyDescent="0.3">
      <c r="A83" s="1"/>
      <c r="B83" s="210" t="s">
        <v>55</v>
      </c>
      <c r="C83" s="4"/>
      <c r="D83" s="215">
        <f>SUM(D74:D82)</f>
        <v>555980.26</v>
      </c>
      <c r="E83" s="216">
        <f>SUM(E74:E82)</f>
        <v>493066.48999999993</v>
      </c>
      <c r="F83" s="216">
        <f>SUM(F74:F82)</f>
        <v>516054</v>
      </c>
      <c r="G83" s="216">
        <f>SUM(G74:G82)</f>
        <v>361398</v>
      </c>
      <c r="H83" s="216">
        <f>SUM(H74:H82)</f>
        <v>521631</v>
      </c>
      <c r="J83" s="241">
        <f t="shared" si="14"/>
        <v>62913.770000000077</v>
      </c>
      <c r="K83" s="353">
        <f>+J83/E83</f>
        <v>0.12759692916872142</v>
      </c>
      <c r="M83" s="241">
        <f t="shared" si="16"/>
        <v>-22987.510000000068</v>
      </c>
      <c r="N83" s="353">
        <f>+M83/F83</f>
        <v>-4.4544776321857923E-2</v>
      </c>
    </row>
    <row r="84" spans="1:14" ht="15.75" thickBot="1" x14ac:dyDescent="0.3">
      <c r="A84" s="1"/>
      <c r="B84" s="48"/>
      <c r="C84" s="49"/>
      <c r="D84" s="76"/>
      <c r="E84" s="232"/>
      <c r="F84" s="344"/>
      <c r="G84" s="344"/>
      <c r="H84" s="344"/>
      <c r="J84" s="76"/>
      <c r="K84" s="232"/>
      <c r="M84" s="76"/>
      <c r="N84" s="232"/>
    </row>
    <row r="85" spans="1:14" ht="15.75" thickBot="1" x14ac:dyDescent="0.3">
      <c r="A85" s="1"/>
      <c r="B85" s="208" t="s">
        <v>56</v>
      </c>
      <c r="C85" s="4"/>
      <c r="D85" s="9"/>
      <c r="E85" s="9"/>
      <c r="F85" s="9"/>
      <c r="G85" s="9"/>
      <c r="H85" s="9"/>
      <c r="J85" s="9"/>
      <c r="K85" s="357"/>
      <c r="M85" s="9"/>
      <c r="N85" s="357"/>
    </row>
    <row r="86" spans="1:14" x14ac:dyDescent="0.25">
      <c r="A86" s="1"/>
      <c r="B86" s="211" t="s">
        <v>74</v>
      </c>
      <c r="C86" s="3"/>
      <c r="D86" s="212">
        <f>+'NOT TO USE.'!D86</f>
        <v>8400</v>
      </c>
      <c r="E86" s="317">
        <f>+'NOT TO USE.'!E86</f>
        <v>9012.02</v>
      </c>
      <c r="F86" s="317">
        <f>+'NOT TO USE.'!G86</f>
        <v>12800</v>
      </c>
      <c r="G86" s="318">
        <f>+'NOT TO USE.'!H86</f>
        <v>3053</v>
      </c>
      <c r="H86" s="318">
        <f>+'NOT TO USE.'!J86</f>
        <v>9416</v>
      </c>
      <c r="J86" s="236">
        <f t="shared" ref="J86:J103" si="18">D86-E86</f>
        <v>-612.02000000000044</v>
      </c>
      <c r="K86" s="366">
        <f t="shared" ref="K86:K103" si="19">+J86/E86</f>
        <v>-6.791152261091303E-2</v>
      </c>
      <c r="M86" s="236">
        <f t="shared" ref="M86:M103" si="20">E86-F86</f>
        <v>-3787.9799999999996</v>
      </c>
      <c r="N86" s="366">
        <f t="shared" ref="N86:N103" si="21">+M86/F86</f>
        <v>-0.29593593749999997</v>
      </c>
    </row>
    <row r="87" spans="1:14" x14ac:dyDescent="0.25">
      <c r="A87" s="1"/>
      <c r="B87" s="204" t="s">
        <v>75</v>
      </c>
      <c r="C87" s="3"/>
      <c r="D87" s="213">
        <f>+'NOT TO USE.'!D87</f>
        <v>12000</v>
      </c>
      <c r="E87" s="311">
        <f>+'NOT TO USE.'!E87</f>
        <v>6482.7699999999995</v>
      </c>
      <c r="F87" s="311">
        <f>+'NOT TO USE.'!G87</f>
        <v>6250</v>
      </c>
      <c r="G87" s="229">
        <f>+'NOT TO USE.'!H87</f>
        <v>21735</v>
      </c>
      <c r="H87" s="229">
        <f>+'NOT TO USE.'!J87</f>
        <v>12163</v>
      </c>
      <c r="J87" s="237">
        <f t="shared" si="18"/>
        <v>5517.2300000000005</v>
      </c>
      <c r="K87" s="347">
        <f t="shared" si="19"/>
        <v>0.85106058058515122</v>
      </c>
      <c r="M87" s="237">
        <f t="shared" si="20"/>
        <v>232.76999999999953</v>
      </c>
      <c r="N87" s="347">
        <f t="shared" si="21"/>
        <v>3.7243199999999928E-2</v>
      </c>
    </row>
    <row r="88" spans="1:14" x14ac:dyDescent="0.25">
      <c r="A88" s="1"/>
      <c r="B88" s="204" t="s">
        <v>76</v>
      </c>
      <c r="C88" s="3"/>
      <c r="D88" s="213">
        <f>+'NOT TO USE.'!D88</f>
        <v>212500</v>
      </c>
      <c r="E88" s="311">
        <f>+'NOT TO USE.'!E88</f>
        <v>131870.87</v>
      </c>
      <c r="F88" s="311">
        <f>+'NOT TO USE.'!G88</f>
        <v>236270.82999999996</v>
      </c>
      <c r="G88" s="229">
        <f>+'NOT TO USE.'!H88</f>
        <v>69872</v>
      </c>
      <c r="H88" s="229">
        <f>+'NOT TO USE.'!J88</f>
        <v>212722</v>
      </c>
      <c r="J88" s="237">
        <f t="shared" si="18"/>
        <v>80629.13</v>
      </c>
      <c r="K88" s="347">
        <f t="shared" si="19"/>
        <v>0.61142487343869045</v>
      </c>
      <c r="M88" s="237">
        <f t="shared" si="20"/>
        <v>-104399.95999999996</v>
      </c>
      <c r="N88" s="347">
        <f t="shared" si="21"/>
        <v>-0.44186563360360642</v>
      </c>
    </row>
    <row r="89" spans="1:14" x14ac:dyDescent="0.25">
      <c r="A89" s="1"/>
      <c r="B89" s="204" t="s">
        <v>77</v>
      </c>
      <c r="C89" s="3"/>
      <c r="D89" s="213">
        <f>+'NOT TO USE.'!D89</f>
        <v>51</v>
      </c>
      <c r="E89" s="311">
        <f>+'NOT TO USE.'!E89</f>
        <v>0</v>
      </c>
      <c r="F89" s="311">
        <f>+'NOT TO USE.'!G89</f>
        <v>0</v>
      </c>
      <c r="G89" s="229">
        <f>+'NOT TO USE.'!H89</f>
        <v>0</v>
      </c>
      <c r="H89" s="229">
        <f>+'NOT TO USE.'!J89</f>
        <v>0</v>
      </c>
      <c r="J89" s="237">
        <f t="shared" si="18"/>
        <v>51</v>
      </c>
      <c r="K89" s="347" t="e">
        <f t="shared" si="19"/>
        <v>#DIV/0!</v>
      </c>
      <c r="M89" s="237">
        <f t="shared" si="20"/>
        <v>0</v>
      </c>
      <c r="N89" s="347" t="e">
        <f t="shared" si="21"/>
        <v>#DIV/0!</v>
      </c>
    </row>
    <row r="90" spans="1:14" x14ac:dyDescent="0.25">
      <c r="A90" s="1"/>
      <c r="B90" s="204" t="s">
        <v>78</v>
      </c>
      <c r="C90" s="3"/>
      <c r="D90" s="213">
        <f>+'NOT TO USE.'!D90</f>
        <v>850</v>
      </c>
      <c r="E90" s="311">
        <f>+'NOT TO USE.'!E90</f>
        <v>85.32</v>
      </c>
      <c r="F90" s="311">
        <f>+'NOT TO USE.'!G90</f>
        <v>1740</v>
      </c>
      <c r="G90" s="229">
        <f>+'NOT TO USE.'!H90</f>
        <v>229</v>
      </c>
      <c r="H90" s="229">
        <f>+'NOT TO USE.'!J90</f>
        <v>2891</v>
      </c>
      <c r="J90" s="237">
        <f t="shared" si="18"/>
        <v>764.68000000000006</v>
      </c>
      <c r="K90" s="347">
        <f t="shared" si="19"/>
        <v>8.9624941397093316</v>
      </c>
      <c r="M90" s="237">
        <f t="shared" si="20"/>
        <v>-1654.68</v>
      </c>
      <c r="N90" s="347">
        <f t="shared" si="21"/>
        <v>-0.95096551724137934</v>
      </c>
    </row>
    <row r="91" spans="1:14" x14ac:dyDescent="0.25">
      <c r="A91" s="1"/>
      <c r="B91" s="204" t="s">
        <v>79</v>
      </c>
      <c r="C91" s="3"/>
      <c r="D91" s="213">
        <f>+'NOT TO USE.'!D91</f>
        <v>8400</v>
      </c>
      <c r="E91" s="311">
        <f>+'NOT TO USE.'!E91</f>
        <v>6272.31</v>
      </c>
      <c r="F91" s="311">
        <f>+'NOT TO USE.'!G91</f>
        <v>10500</v>
      </c>
      <c r="G91" s="229">
        <f>+'NOT TO USE.'!H91</f>
        <v>4434</v>
      </c>
      <c r="H91" s="229">
        <f>+'NOT TO USE.'!J91</f>
        <v>8074</v>
      </c>
      <c r="J91" s="237">
        <f t="shared" si="18"/>
        <v>2127.6899999999996</v>
      </c>
      <c r="K91" s="347">
        <f t="shared" si="19"/>
        <v>0.33921952199428912</v>
      </c>
      <c r="M91" s="237">
        <f t="shared" si="20"/>
        <v>-4227.6899999999996</v>
      </c>
      <c r="N91" s="347">
        <f t="shared" si="21"/>
        <v>-0.4026371428571428</v>
      </c>
    </row>
    <row r="92" spans="1:14" x14ac:dyDescent="0.25">
      <c r="A92" s="1"/>
      <c r="B92" s="204" t="s">
        <v>80</v>
      </c>
      <c r="C92" s="3"/>
      <c r="D92" s="213">
        <f>+'NOT TO USE.'!D92</f>
        <v>8400</v>
      </c>
      <c r="E92" s="311">
        <f>+'NOT TO USE.'!E92</f>
        <v>8584.42</v>
      </c>
      <c r="F92" s="311">
        <f>+'NOT TO USE.'!G92</f>
        <v>8004</v>
      </c>
      <c r="G92" s="229">
        <f>+'NOT TO USE.'!H92</f>
        <v>3190</v>
      </c>
      <c r="H92" s="229">
        <f>+'NOT TO USE.'!J92</f>
        <v>5189</v>
      </c>
      <c r="J92" s="237">
        <f t="shared" si="18"/>
        <v>-184.42000000000007</v>
      </c>
      <c r="K92" s="347">
        <f t="shared" si="19"/>
        <v>-2.1483105439855002E-2</v>
      </c>
      <c r="M92" s="237">
        <f t="shared" si="20"/>
        <v>580.42000000000007</v>
      </c>
      <c r="N92" s="347">
        <f t="shared" si="21"/>
        <v>7.2516241879060472E-2</v>
      </c>
    </row>
    <row r="93" spans="1:14" x14ac:dyDescent="0.25">
      <c r="A93" s="1"/>
      <c r="B93" s="204" t="s">
        <v>81</v>
      </c>
      <c r="C93" s="3"/>
      <c r="D93" s="213">
        <f>+'NOT TO USE.'!D93</f>
        <v>24000</v>
      </c>
      <c r="E93" s="311">
        <f>+'NOT TO USE.'!E93</f>
        <v>34979.080000000009</v>
      </c>
      <c r="F93" s="311">
        <f>+'NOT TO USE.'!G93</f>
        <v>18571.669999999998</v>
      </c>
      <c r="G93" s="229">
        <f>+'NOT TO USE.'!H93</f>
        <v>5206</v>
      </c>
      <c r="H93" s="229">
        <f>+'NOT TO USE.'!J93</f>
        <v>16308</v>
      </c>
      <c r="J93" s="237">
        <f t="shared" si="18"/>
        <v>-10979.080000000009</v>
      </c>
      <c r="K93" s="347">
        <f t="shared" si="19"/>
        <v>-0.31387560793480007</v>
      </c>
      <c r="M93" s="237">
        <f t="shared" si="20"/>
        <v>16407.410000000011</v>
      </c>
      <c r="N93" s="347">
        <f t="shared" si="21"/>
        <v>0.88346443803922925</v>
      </c>
    </row>
    <row r="94" spans="1:14" x14ac:dyDescent="0.25">
      <c r="A94" s="1"/>
      <c r="B94" s="204" t="s">
        <v>82</v>
      </c>
      <c r="C94" s="3"/>
      <c r="D94" s="213">
        <f>+'NOT TO USE.'!D94</f>
        <v>6000</v>
      </c>
      <c r="E94" s="311">
        <f>+'NOT TO USE.'!E94</f>
        <v>2427.56</v>
      </c>
      <c r="F94" s="311">
        <f>+'NOT TO USE.'!G94</f>
        <v>1800</v>
      </c>
      <c r="G94" s="229">
        <f>+'NOT TO USE.'!H94</f>
        <v>151</v>
      </c>
      <c r="H94" s="229">
        <f>+'NOT TO USE.'!J94</f>
        <v>5672</v>
      </c>
      <c r="J94" s="237">
        <f t="shared" si="18"/>
        <v>3572.44</v>
      </c>
      <c r="K94" s="347">
        <f t="shared" si="19"/>
        <v>1.4716175913262701</v>
      </c>
      <c r="M94" s="237">
        <f t="shared" si="20"/>
        <v>627.55999999999995</v>
      </c>
      <c r="N94" s="347">
        <f t="shared" si="21"/>
        <v>0.34864444444444442</v>
      </c>
    </row>
    <row r="95" spans="1:14" x14ac:dyDescent="0.25">
      <c r="A95" s="1"/>
      <c r="B95" s="204" t="s">
        <v>83</v>
      </c>
      <c r="C95" s="3"/>
      <c r="D95" s="213">
        <f>+'NOT TO USE.'!D95</f>
        <v>5500</v>
      </c>
      <c r="E95" s="311">
        <f>+'NOT TO USE.'!E95</f>
        <v>5416.24</v>
      </c>
      <c r="F95" s="311">
        <f>+'NOT TO USE.'!G95</f>
        <v>0</v>
      </c>
      <c r="G95" s="229">
        <f>+'NOT TO USE.'!H95</f>
        <v>226</v>
      </c>
      <c r="H95" s="229">
        <f>+'NOT TO USE.'!J95</f>
        <v>0</v>
      </c>
      <c r="J95" s="237">
        <f t="shared" si="18"/>
        <v>83.760000000000218</v>
      </c>
      <c r="K95" s="347">
        <f t="shared" si="19"/>
        <v>1.5464602750247445E-2</v>
      </c>
      <c r="M95" s="237">
        <f t="shared" si="20"/>
        <v>5416.24</v>
      </c>
      <c r="N95" s="347" t="e">
        <f t="shared" si="21"/>
        <v>#DIV/0!</v>
      </c>
    </row>
    <row r="96" spans="1:14" x14ac:dyDescent="0.25">
      <c r="A96" s="1"/>
      <c r="B96" s="204" t="s">
        <v>84</v>
      </c>
      <c r="C96" s="3"/>
      <c r="D96" s="213">
        <f>+'NOT TO USE.'!D96</f>
        <v>36000</v>
      </c>
      <c r="E96" s="311">
        <f>+'NOT TO USE.'!E96</f>
        <v>7665</v>
      </c>
      <c r="F96" s="311">
        <f>+'NOT TO USE.'!G96</f>
        <v>11250</v>
      </c>
      <c r="G96" s="229">
        <f>+'NOT TO USE.'!H96</f>
        <v>3700</v>
      </c>
      <c r="H96" s="229">
        <f>+'NOT TO USE.'!J96</f>
        <v>39600</v>
      </c>
      <c r="J96" s="237">
        <f t="shared" si="18"/>
        <v>28335</v>
      </c>
      <c r="K96" s="347">
        <f t="shared" si="19"/>
        <v>3.6966731898238749</v>
      </c>
      <c r="M96" s="237">
        <f t="shared" si="20"/>
        <v>-3585</v>
      </c>
      <c r="N96" s="347">
        <f t="shared" si="21"/>
        <v>-0.31866666666666665</v>
      </c>
    </row>
    <row r="97" spans="1:14" x14ac:dyDescent="0.25">
      <c r="A97" s="1"/>
      <c r="B97" s="204" t="s">
        <v>85</v>
      </c>
      <c r="C97" s="3"/>
      <c r="D97" s="213">
        <f>+'NOT TO USE.'!D97</f>
        <v>26280</v>
      </c>
      <c r="E97" s="311">
        <f>+'NOT TO USE.'!E97</f>
        <v>17462</v>
      </c>
      <c r="F97" s="311">
        <f>+'NOT TO USE.'!G97</f>
        <v>25590</v>
      </c>
      <c r="G97" s="229">
        <f>+'NOT TO USE.'!H97</f>
        <v>13625</v>
      </c>
      <c r="H97" s="229">
        <f>+'NOT TO USE.'!J97</f>
        <v>26040</v>
      </c>
      <c r="J97" s="237">
        <f t="shared" si="18"/>
        <v>8818</v>
      </c>
      <c r="K97" s="347">
        <f t="shared" si="19"/>
        <v>0.50498224716527318</v>
      </c>
      <c r="M97" s="237">
        <f t="shared" si="20"/>
        <v>-8128</v>
      </c>
      <c r="N97" s="347">
        <f t="shared" si="21"/>
        <v>-0.31762407190308717</v>
      </c>
    </row>
    <row r="98" spans="1:14" x14ac:dyDescent="0.25">
      <c r="A98" s="1"/>
      <c r="B98" s="204" t="s">
        <v>61</v>
      </c>
      <c r="C98" s="3"/>
      <c r="D98" s="213">
        <f>+'NOT TO USE.'!D98</f>
        <v>1440</v>
      </c>
      <c r="E98" s="311">
        <f>+'NOT TO USE.'!E98</f>
        <v>790.07000000000016</v>
      </c>
      <c r="F98" s="311">
        <f>+'NOT TO USE.'!G98</f>
        <v>1270</v>
      </c>
      <c r="G98" s="229">
        <f>+'NOT TO USE.'!H98</f>
        <v>384</v>
      </c>
      <c r="H98" s="229">
        <f>+'NOT TO USE.'!J98</f>
        <v>1290</v>
      </c>
      <c r="J98" s="237">
        <f t="shared" si="18"/>
        <v>649.92999999999984</v>
      </c>
      <c r="K98" s="347">
        <f t="shared" si="19"/>
        <v>0.82262331185844251</v>
      </c>
      <c r="M98" s="237">
        <f t="shared" si="20"/>
        <v>-479.92999999999984</v>
      </c>
      <c r="N98" s="347">
        <f t="shared" si="21"/>
        <v>-0.37789763779527547</v>
      </c>
    </row>
    <row r="99" spans="1:14" x14ac:dyDescent="0.25">
      <c r="A99" s="1"/>
      <c r="B99" s="204" t="s">
        <v>86</v>
      </c>
      <c r="C99" s="3"/>
      <c r="D99" s="213">
        <f>+'NOT TO USE.'!D99</f>
        <v>9500</v>
      </c>
      <c r="E99" s="311">
        <f>+'NOT TO USE.'!E99</f>
        <v>5553.0499999999993</v>
      </c>
      <c r="F99" s="311">
        <f>+'NOT TO USE.'!G99</f>
        <v>15304.169999999998</v>
      </c>
      <c r="G99" s="229">
        <f>+'NOT TO USE.'!H99</f>
        <v>4788</v>
      </c>
      <c r="H99" s="229">
        <f>+'NOT TO USE.'!J99</f>
        <v>17318</v>
      </c>
      <c r="J99" s="237">
        <f t="shared" si="18"/>
        <v>3946.9500000000007</v>
      </c>
      <c r="K99" s="347">
        <f t="shared" si="19"/>
        <v>0.71077155797264591</v>
      </c>
      <c r="M99" s="237">
        <f t="shared" si="20"/>
        <v>-9751.119999999999</v>
      </c>
      <c r="N99" s="347">
        <f t="shared" si="21"/>
        <v>-0.63715444875481653</v>
      </c>
    </row>
    <row r="100" spans="1:14" x14ac:dyDescent="0.25">
      <c r="A100" s="1"/>
      <c r="B100" s="204" t="s">
        <v>87</v>
      </c>
      <c r="C100" s="3"/>
      <c r="D100" s="213">
        <f>+'NOT TO USE.'!D100</f>
        <v>60000</v>
      </c>
      <c r="E100" s="311">
        <f>+'NOT TO USE.'!E100</f>
        <v>33101.449999999997</v>
      </c>
      <c r="F100" s="311">
        <f>+'NOT TO USE.'!G100</f>
        <v>56200</v>
      </c>
      <c r="G100" s="229">
        <f>+'NOT TO USE.'!H100</f>
        <v>25404</v>
      </c>
      <c r="H100" s="229">
        <f>+'NOT TO USE.'!J100</f>
        <v>54478</v>
      </c>
      <c r="J100" s="237">
        <f t="shared" si="18"/>
        <v>26898.550000000003</v>
      </c>
      <c r="K100" s="347">
        <f t="shared" si="19"/>
        <v>0.81260941741222836</v>
      </c>
      <c r="M100" s="237">
        <f t="shared" si="20"/>
        <v>-23098.550000000003</v>
      </c>
      <c r="N100" s="347">
        <f t="shared" si="21"/>
        <v>-0.41100622775800716</v>
      </c>
    </row>
    <row r="101" spans="1:14" x14ac:dyDescent="0.25">
      <c r="A101" s="1"/>
      <c r="B101" s="204" t="s">
        <v>64</v>
      </c>
      <c r="C101" s="3"/>
      <c r="D101" s="213">
        <f>+'NOT TO USE.'!D101</f>
        <v>4500</v>
      </c>
      <c r="E101" s="311">
        <f>+'NOT TO USE.'!E101</f>
        <v>4627.53</v>
      </c>
      <c r="F101" s="311">
        <f>+'NOT TO USE.'!G101</f>
        <v>2350</v>
      </c>
      <c r="G101" s="229">
        <f>+'NOT TO USE.'!H101</f>
        <v>7420</v>
      </c>
      <c r="H101" s="229">
        <f>+'NOT TO USE.'!J101</f>
        <v>2585</v>
      </c>
      <c r="J101" s="237">
        <f t="shared" si="18"/>
        <v>-127.52999999999975</v>
      </c>
      <c r="K101" s="347">
        <f t="shared" si="19"/>
        <v>-2.7558978547951012E-2</v>
      </c>
      <c r="M101" s="237">
        <f t="shared" si="20"/>
        <v>2277.5299999999997</v>
      </c>
      <c r="N101" s="347">
        <f t="shared" si="21"/>
        <v>0.96916170212765951</v>
      </c>
    </row>
    <row r="102" spans="1:14" x14ac:dyDescent="0.25">
      <c r="A102" s="1"/>
      <c r="B102" s="205" t="s">
        <v>88</v>
      </c>
      <c r="C102" s="3"/>
      <c r="D102" s="214">
        <f>+'NOT TO USE.'!D102</f>
        <v>191000.01999999996</v>
      </c>
      <c r="E102" s="314">
        <f>+'NOT TO USE.'!E102</f>
        <v>150312.97</v>
      </c>
      <c r="F102" s="314">
        <f>+'NOT TO USE.'!G102</f>
        <v>175166.66999999998</v>
      </c>
      <c r="G102" s="230">
        <f>+'NOT TO USE.'!H102</f>
        <v>119993</v>
      </c>
      <c r="H102" s="230">
        <f>+'NOT TO USE.'!J102</f>
        <v>164613</v>
      </c>
      <c r="J102" s="246">
        <f t="shared" si="18"/>
        <v>40687.049999999959</v>
      </c>
      <c r="K102" s="349">
        <f t="shared" si="19"/>
        <v>0.27068223054870089</v>
      </c>
      <c r="M102" s="246">
        <f t="shared" si="20"/>
        <v>-24853.699999999983</v>
      </c>
      <c r="N102" s="349">
        <f t="shared" si="21"/>
        <v>-0.14188601062062769</v>
      </c>
    </row>
    <row r="103" spans="1:14" ht="15.75" thickBot="1" x14ac:dyDescent="0.3">
      <c r="A103" s="1"/>
      <c r="B103" s="210" t="s">
        <v>67</v>
      </c>
      <c r="C103" s="4"/>
      <c r="D103" s="223">
        <f>SUM(D86:D102)</f>
        <v>614821.02</v>
      </c>
      <c r="E103" s="319">
        <f>SUM(E86:E102)</f>
        <v>424642.66000000003</v>
      </c>
      <c r="F103" s="319">
        <f>SUM(F86:F102)</f>
        <v>583067.33999999985</v>
      </c>
      <c r="G103" s="319">
        <f>SUM(G86:G102)</f>
        <v>283410</v>
      </c>
      <c r="H103" s="319">
        <f>SUM(H86:H102)</f>
        <v>578359</v>
      </c>
      <c r="J103" s="241">
        <f t="shared" si="18"/>
        <v>190178.36</v>
      </c>
      <c r="K103" s="353">
        <f t="shared" si="19"/>
        <v>0.44785505064422865</v>
      </c>
      <c r="M103" s="241">
        <f t="shared" si="20"/>
        <v>-158424.67999999982</v>
      </c>
      <c r="N103" s="353">
        <f t="shared" si="21"/>
        <v>-0.2717090619412843</v>
      </c>
    </row>
    <row r="104" spans="1:14" ht="15.75" thickBot="1" x14ac:dyDescent="0.3">
      <c r="A104" s="1"/>
      <c r="B104" s="48"/>
      <c r="C104" s="49"/>
      <c r="D104" s="76"/>
      <c r="E104" s="232"/>
      <c r="F104" s="344"/>
      <c r="G104" s="344"/>
      <c r="H104" s="344"/>
      <c r="J104" s="76"/>
      <c r="K104" s="232"/>
      <c r="M104" s="76"/>
      <c r="N104" s="232"/>
    </row>
    <row r="105" spans="1:14" ht="15.75" thickBot="1" x14ac:dyDescent="0.3">
      <c r="A105" s="1"/>
      <c r="B105" s="208" t="s">
        <v>68</v>
      </c>
      <c r="C105" s="4"/>
      <c r="D105" s="9"/>
      <c r="E105" s="9"/>
      <c r="F105" s="9"/>
      <c r="G105" s="9"/>
      <c r="H105" s="9"/>
      <c r="J105" s="9"/>
      <c r="K105" s="357"/>
      <c r="M105" s="9"/>
      <c r="N105" s="357"/>
    </row>
    <row r="106" spans="1:14" ht="15.75" thickBot="1" x14ac:dyDescent="0.3">
      <c r="A106" s="1"/>
      <c r="B106" s="220" t="s">
        <v>69</v>
      </c>
      <c r="C106" s="4"/>
      <c r="D106" s="217">
        <f>D83+D103</f>
        <v>1170801.28</v>
      </c>
      <c r="E106" s="218">
        <f>E83+E103</f>
        <v>917709.14999999991</v>
      </c>
      <c r="F106" s="218">
        <f>F83+F103</f>
        <v>1099121.3399999999</v>
      </c>
      <c r="G106" s="219">
        <f>G83+G103</f>
        <v>644808</v>
      </c>
      <c r="H106" s="219">
        <f>H83+H103</f>
        <v>1099990</v>
      </c>
      <c r="J106" s="244">
        <f>D106-E106</f>
        <v>253092.13000000012</v>
      </c>
      <c r="K106" s="368">
        <f>+J106/E106</f>
        <v>0.27578686558807891</v>
      </c>
      <c r="M106" s="244">
        <f>E106-F106</f>
        <v>-181412.18999999994</v>
      </c>
      <c r="N106" s="368">
        <f>+M106/F106</f>
        <v>-0.1650520132745307</v>
      </c>
    </row>
    <row r="107" spans="1:14" ht="15.75" thickBot="1" x14ac:dyDescent="0.3">
      <c r="A107" s="1"/>
      <c r="B107" s="48"/>
      <c r="C107" s="49"/>
      <c r="D107" s="76"/>
      <c r="E107" s="232"/>
      <c r="F107" s="344"/>
      <c r="G107" s="344"/>
      <c r="H107" s="344"/>
      <c r="J107" s="76"/>
      <c r="K107" s="232"/>
      <c r="M107" s="76"/>
      <c r="N107" s="232"/>
    </row>
    <row r="108" spans="1:14" ht="15.75" thickBot="1" x14ac:dyDescent="0.3">
      <c r="A108" s="1"/>
      <c r="B108" s="208" t="s">
        <v>89</v>
      </c>
      <c r="C108" s="4"/>
      <c r="D108" s="101"/>
      <c r="E108" s="101"/>
      <c r="F108" s="101"/>
      <c r="G108" s="101"/>
      <c r="H108" s="101"/>
      <c r="J108" s="101"/>
      <c r="K108" s="358"/>
      <c r="M108" s="101"/>
      <c r="N108" s="358"/>
    </row>
    <row r="109" spans="1:14" ht="15.75" thickBot="1" x14ac:dyDescent="0.3">
      <c r="A109" s="1"/>
      <c r="B109" s="48"/>
      <c r="C109" s="49"/>
      <c r="D109" s="103"/>
      <c r="E109" s="103"/>
      <c r="F109" s="103"/>
      <c r="G109" s="103"/>
      <c r="H109" s="103"/>
      <c r="J109" s="103"/>
      <c r="K109" s="356"/>
      <c r="M109" s="103"/>
      <c r="N109" s="356"/>
    </row>
    <row r="110" spans="1:14" ht="15.75" thickBot="1" x14ac:dyDescent="0.3">
      <c r="A110" s="1"/>
      <c r="B110" s="209" t="s">
        <v>48</v>
      </c>
      <c r="C110" s="4"/>
      <c r="D110" s="369" t="str">
        <f>D3</f>
        <v>BUDGET 2022</v>
      </c>
      <c r="E110" s="369" t="str">
        <f t="shared" ref="E110:H110" si="22">E3</f>
        <v>ACTUAL 2021</v>
      </c>
      <c r="F110" s="369" t="str">
        <f t="shared" si="22"/>
        <v>BUDGET 2021</v>
      </c>
      <c r="G110" s="369" t="str">
        <f t="shared" si="22"/>
        <v>ACTUAL 2020</v>
      </c>
      <c r="H110" s="369" t="str">
        <f t="shared" si="22"/>
        <v>ACTUAL 2019</v>
      </c>
      <c r="J110" s="235" t="str">
        <f>+J$3</f>
        <v>B 2022 vs Act 2021</v>
      </c>
      <c r="K110" s="372" t="str">
        <f>+K$3</f>
        <v>%</v>
      </c>
      <c r="M110" s="235" t="str">
        <f>+M$3</f>
        <v>Act 2021 vs Bud 2021</v>
      </c>
      <c r="N110" s="372" t="str">
        <f>+N$3</f>
        <v>%</v>
      </c>
    </row>
    <row r="111" spans="1:14" x14ac:dyDescent="0.25">
      <c r="A111" s="1"/>
      <c r="B111" s="221" t="s">
        <v>19</v>
      </c>
      <c r="C111" s="3"/>
      <c r="D111" s="213">
        <f>+'NOT TO USE.'!D111</f>
        <v>200500</v>
      </c>
      <c r="E111" s="311">
        <f>+'NOT TO USE.'!E111</f>
        <v>186520</v>
      </c>
      <c r="F111" s="311">
        <f>+'NOT TO USE.'!G111</f>
        <v>177000</v>
      </c>
      <c r="G111" s="229">
        <f>+'NOT TO USE.'!H111</f>
        <v>104799</v>
      </c>
      <c r="H111" s="229">
        <f>+'NOT TO USE.'!J111</f>
        <v>188108</v>
      </c>
      <c r="J111" s="237">
        <f t="shared" ref="J111:J119" si="23">D111-E111</f>
        <v>13980</v>
      </c>
      <c r="K111" s="347">
        <f>+J111/E111</f>
        <v>7.4951747801844312E-2</v>
      </c>
      <c r="M111" s="237">
        <f t="shared" ref="M111:M119" si="24">E111-F111</f>
        <v>9520</v>
      </c>
      <c r="N111" s="347">
        <f>+M111/F111</f>
        <v>5.3785310734463278E-2</v>
      </c>
    </row>
    <row r="112" spans="1:14" x14ac:dyDescent="0.25">
      <c r="A112" s="1"/>
      <c r="B112" s="204" t="s">
        <v>50</v>
      </c>
      <c r="C112" s="3"/>
      <c r="D112" s="213">
        <f>+'NOT TO USE.'!D112</f>
        <v>15874.5</v>
      </c>
      <c r="E112" s="311">
        <f>+'NOT TO USE.'!E112</f>
        <v>14926</v>
      </c>
      <c r="F112" s="311">
        <f>+'NOT TO USE.'!G112</f>
        <v>15874.5</v>
      </c>
      <c r="G112" s="229">
        <f>+'NOT TO USE.'!H112</f>
        <v>10846</v>
      </c>
      <c r="H112" s="229">
        <f>+'NOT TO USE.'!J112</f>
        <v>15786</v>
      </c>
      <c r="J112" s="237">
        <f t="shared" si="23"/>
        <v>948.5</v>
      </c>
      <c r="K112" s="347">
        <f>+J112/E112</f>
        <v>6.3546831033096607E-2</v>
      </c>
      <c r="M112" s="237">
        <f t="shared" si="24"/>
        <v>-948.5</v>
      </c>
      <c r="N112" s="347">
        <f>+M112/F112</f>
        <v>-5.9749913383098679E-2</v>
      </c>
    </row>
    <row r="113" spans="1:14" x14ac:dyDescent="0.25">
      <c r="A113" s="1"/>
      <c r="B113" s="204" t="s">
        <v>73</v>
      </c>
      <c r="C113" s="3"/>
      <c r="D113" s="213">
        <f>+'NOT TO USE.'!D113</f>
        <v>13560</v>
      </c>
      <c r="E113" s="311">
        <f>+'NOT TO USE.'!E113</f>
        <v>11964</v>
      </c>
      <c r="F113" s="311">
        <f>+'NOT TO USE.'!G113</f>
        <v>13390</v>
      </c>
      <c r="G113" s="229">
        <f>+'NOT TO USE.'!H113</f>
        <v>8513</v>
      </c>
      <c r="H113" s="229">
        <f>+'NOT TO USE.'!J113</f>
        <v>11197</v>
      </c>
      <c r="J113" s="237">
        <f t="shared" si="23"/>
        <v>1596</v>
      </c>
      <c r="K113" s="347">
        <f>+J113/E113</f>
        <v>0.13340020060180541</v>
      </c>
      <c r="M113" s="237">
        <f t="shared" si="24"/>
        <v>-1426</v>
      </c>
      <c r="N113" s="347">
        <f>+M113/F113</f>
        <v>-0.1064973861090366</v>
      </c>
    </row>
    <row r="114" spans="1:14" x14ac:dyDescent="0.25">
      <c r="A114" s="1"/>
      <c r="B114" s="204" t="s">
        <v>52</v>
      </c>
      <c r="C114" s="3"/>
      <c r="D114" s="213">
        <f>+'NOT TO USE.'!D114</f>
        <v>0</v>
      </c>
      <c r="E114" s="311">
        <f>+'NOT TO USE.'!E114</f>
        <v>0</v>
      </c>
      <c r="F114" s="311">
        <f>+'NOT TO USE.'!G114</f>
        <v>0</v>
      </c>
      <c r="G114" s="229">
        <f>+'NOT TO USE.'!H114</f>
        <v>0</v>
      </c>
      <c r="H114" s="229">
        <f>+'NOT TO USE.'!J114</f>
        <v>0</v>
      </c>
      <c r="J114" s="237">
        <f t="shared" si="23"/>
        <v>0</v>
      </c>
      <c r="K114" s="347"/>
      <c r="M114" s="237">
        <f t="shared" si="24"/>
        <v>0</v>
      </c>
      <c r="N114" s="347"/>
    </row>
    <row r="115" spans="1:14" x14ac:dyDescent="0.25">
      <c r="A115" s="1"/>
      <c r="B115" s="204" t="s">
        <v>53</v>
      </c>
      <c r="C115" s="3"/>
      <c r="D115" s="213">
        <f>+'NOT TO USE.'!D115</f>
        <v>21600</v>
      </c>
      <c r="E115" s="311">
        <f>+'NOT TO USE.'!E115</f>
        <v>21220</v>
      </c>
      <c r="F115" s="311">
        <f>+'NOT TO USE.'!G115</f>
        <v>21000</v>
      </c>
      <c r="G115" s="229">
        <f>+'NOT TO USE.'!H115</f>
        <v>25541</v>
      </c>
      <c r="H115" s="229">
        <f>+'NOT TO USE.'!J115</f>
        <v>28790</v>
      </c>
      <c r="J115" s="237">
        <f t="shared" si="23"/>
        <v>380</v>
      </c>
      <c r="K115" s="347">
        <f>+J115/E115</f>
        <v>1.7907634307257305E-2</v>
      </c>
      <c r="M115" s="237">
        <f t="shared" si="24"/>
        <v>220</v>
      </c>
      <c r="N115" s="347">
        <f>+M115/F115</f>
        <v>1.0476190476190476E-2</v>
      </c>
    </row>
    <row r="116" spans="1:14" x14ac:dyDescent="0.25">
      <c r="A116" s="1"/>
      <c r="B116" s="204" t="s">
        <v>54</v>
      </c>
      <c r="C116" s="3"/>
      <c r="D116" s="213">
        <f>+'NOT TO USE.'!D116</f>
        <v>22055</v>
      </c>
      <c r="E116" s="311">
        <f>+'NOT TO USE.'!E116</f>
        <v>18527</v>
      </c>
      <c r="F116" s="311">
        <f>+'NOT TO USE.'!G116</f>
        <v>20600.000000000004</v>
      </c>
      <c r="G116" s="229">
        <f>+'NOT TO USE.'!H116</f>
        <v>11520</v>
      </c>
      <c r="H116" s="229">
        <f>+'NOT TO USE.'!J116</f>
        <v>18252</v>
      </c>
      <c r="J116" s="237">
        <f t="shared" si="23"/>
        <v>3528</v>
      </c>
      <c r="K116" s="347">
        <f>+J116/E116</f>
        <v>0.19042478544826469</v>
      </c>
      <c r="M116" s="237">
        <f t="shared" si="24"/>
        <v>-2073.0000000000036</v>
      </c>
      <c r="N116" s="347">
        <f>+M116/F116</f>
        <v>-0.10063106796116521</v>
      </c>
    </row>
    <row r="117" spans="1:14" x14ac:dyDescent="0.25">
      <c r="A117" s="1"/>
      <c r="B117" s="204" t="s">
        <v>90</v>
      </c>
      <c r="C117" s="3"/>
      <c r="D117" s="213">
        <f>+'NOT TO USE.'!D117</f>
        <v>-136794.75</v>
      </c>
      <c r="E117" s="311">
        <f>+'NOT TO USE.'!E117</f>
        <v>-126579</v>
      </c>
      <c r="F117" s="311">
        <f>+'NOT TO USE.'!G117</f>
        <v>-123933.60000000002</v>
      </c>
      <c r="G117" s="229">
        <f>+'NOT TO USE.'!H117</f>
        <v>-80125</v>
      </c>
      <c r="H117" s="229">
        <f>+'NOT TO USE.'!J117</f>
        <v>-131108</v>
      </c>
      <c r="J117" s="237">
        <f t="shared" si="23"/>
        <v>-10215.75</v>
      </c>
      <c r="K117" s="347">
        <f>+J117/E117</f>
        <v>8.0706515298746243E-2</v>
      </c>
      <c r="M117" s="237">
        <f t="shared" si="24"/>
        <v>-2645.3999999999796</v>
      </c>
      <c r="N117" s="347">
        <f>+M117/F117</f>
        <v>2.1345301032165444E-2</v>
      </c>
    </row>
    <row r="118" spans="1:14" x14ac:dyDescent="0.25">
      <c r="A118" s="1"/>
      <c r="B118" s="203"/>
      <c r="C118" s="4"/>
      <c r="D118" s="314"/>
      <c r="E118" s="314"/>
      <c r="F118" s="314"/>
      <c r="G118" s="230"/>
      <c r="H118" s="230"/>
      <c r="J118" s="246">
        <f t="shared" si="23"/>
        <v>0</v>
      </c>
      <c r="K118" s="349"/>
      <c r="M118" s="246">
        <f t="shared" si="24"/>
        <v>0</v>
      </c>
      <c r="N118" s="349"/>
    </row>
    <row r="119" spans="1:14" ht="15.75" thickBot="1" x14ac:dyDescent="0.3">
      <c r="A119" s="1"/>
      <c r="B119" s="206" t="s">
        <v>55</v>
      </c>
      <c r="C119" s="4"/>
      <c r="D119" s="223">
        <f>SUM(D111:D118)</f>
        <v>136794.75</v>
      </c>
      <c r="E119" s="319">
        <f>SUM(E111:E118)</f>
        <v>126578</v>
      </c>
      <c r="F119" s="319">
        <f>SUM(F111:F118)</f>
        <v>123930.89999999998</v>
      </c>
      <c r="G119" s="319">
        <f>SUM(G111:G118)</f>
        <v>81094</v>
      </c>
      <c r="H119" s="319">
        <f>SUM(H111:H118)</f>
        <v>131025</v>
      </c>
      <c r="J119" s="241">
        <f t="shared" si="23"/>
        <v>10216.75</v>
      </c>
      <c r="K119" s="353">
        <f>+J119/E119</f>
        <v>8.071505316879711E-2</v>
      </c>
      <c r="M119" s="241">
        <f t="shared" si="24"/>
        <v>2647.1000000000204</v>
      </c>
      <c r="N119" s="353">
        <f>+M119/F119</f>
        <v>2.1359483389534174E-2</v>
      </c>
    </row>
    <row r="120" spans="1:14" ht="15.75" thickBot="1" x14ac:dyDescent="0.3">
      <c r="A120" s="1"/>
      <c r="B120" s="48"/>
      <c r="C120" s="49"/>
      <c r="D120" s="76"/>
      <c r="E120" s="76"/>
      <c r="F120" s="76"/>
      <c r="G120" s="76"/>
      <c r="H120" s="76"/>
      <c r="J120" s="76"/>
      <c r="K120" s="232"/>
      <c r="M120" s="76"/>
      <c r="N120" s="232"/>
    </row>
    <row r="121" spans="1:14" ht="15.75" thickBot="1" x14ac:dyDescent="0.3">
      <c r="A121" s="1"/>
      <c r="B121" s="208" t="s">
        <v>56</v>
      </c>
      <c r="C121" s="4"/>
      <c r="D121" s="9"/>
      <c r="E121" s="9"/>
      <c r="F121" s="9"/>
      <c r="G121" s="9"/>
      <c r="H121" s="9"/>
      <c r="J121" s="9"/>
      <c r="K121" s="357"/>
      <c r="M121" s="9"/>
      <c r="N121" s="357"/>
    </row>
    <row r="122" spans="1:14" x14ac:dyDescent="0.25">
      <c r="A122" s="3"/>
      <c r="B122" s="211" t="s">
        <v>91</v>
      </c>
      <c r="C122" s="3"/>
      <c r="D122" s="322">
        <f>+'NOT TO USE.'!D122</f>
        <v>72500</v>
      </c>
      <c r="E122" s="326">
        <f>+'NOT TO USE.'!E122</f>
        <v>26296.329999999998</v>
      </c>
      <c r="F122" s="326">
        <f>+'NOT TO USE.'!G122</f>
        <v>70500</v>
      </c>
      <c r="G122" s="331">
        <f>+'NOT TO USE.'!H122</f>
        <v>11599</v>
      </c>
      <c r="H122" s="331">
        <f>+'NOT TO USE.'!J122</f>
        <v>70334</v>
      </c>
      <c r="J122" s="236">
        <f t="shared" ref="J122:J133" si="25">D122-E122</f>
        <v>46203.67</v>
      </c>
      <c r="K122" s="366">
        <f t="shared" ref="K122:K133" si="26">+J122/E122</f>
        <v>1.7570387198517816</v>
      </c>
      <c r="M122" s="236">
        <f t="shared" ref="M122:M133" si="27">E122-F122</f>
        <v>-44203.67</v>
      </c>
      <c r="N122" s="366">
        <f t="shared" ref="N122:N133" si="28">+M122/F122</f>
        <v>-0.62700241134751766</v>
      </c>
    </row>
    <row r="123" spans="1:14" x14ac:dyDescent="0.25">
      <c r="A123" s="3"/>
      <c r="B123" s="204" t="s">
        <v>110</v>
      </c>
      <c r="C123" s="3"/>
      <c r="D123" s="323">
        <f>+'NOT TO USE.'!D123</f>
        <v>2400</v>
      </c>
      <c r="E123" s="315">
        <f>+'NOT TO USE.'!E123</f>
        <v>0</v>
      </c>
      <c r="F123" s="315">
        <f>+'NOT TO USE.'!G123</f>
        <v>2200</v>
      </c>
      <c r="G123" s="332">
        <f>+'NOT TO USE.'!H123</f>
        <v>2783</v>
      </c>
      <c r="H123" s="332">
        <f>+'NOT TO USE.'!J123</f>
        <v>2398</v>
      </c>
      <c r="J123" s="237">
        <f t="shared" si="25"/>
        <v>2400</v>
      </c>
      <c r="K123" s="347" t="e">
        <f t="shared" si="26"/>
        <v>#DIV/0!</v>
      </c>
      <c r="M123" s="237">
        <f t="shared" si="27"/>
        <v>-2200</v>
      </c>
      <c r="N123" s="347">
        <f t="shared" si="28"/>
        <v>-1</v>
      </c>
    </row>
    <row r="124" spans="1:14" x14ac:dyDescent="0.25">
      <c r="A124" s="3"/>
      <c r="B124" s="204" t="s">
        <v>92</v>
      </c>
      <c r="C124" s="3"/>
      <c r="D124" s="323">
        <f>+'NOT TO USE.'!D124</f>
        <v>22500</v>
      </c>
      <c r="E124" s="315">
        <f>+'NOT TO USE.'!E124</f>
        <v>3272.86</v>
      </c>
      <c r="F124" s="315">
        <f>+'NOT TO USE.'!G124</f>
        <v>15166.63</v>
      </c>
      <c r="G124" s="332">
        <f>+'NOT TO USE.'!H124</f>
        <v>3333</v>
      </c>
      <c r="H124" s="332">
        <f>+'NOT TO USE.'!J124</f>
        <v>19244</v>
      </c>
      <c r="J124" s="237">
        <f t="shared" si="25"/>
        <v>19227.14</v>
      </c>
      <c r="K124" s="347">
        <f t="shared" si="26"/>
        <v>5.8747211918627738</v>
      </c>
      <c r="M124" s="237">
        <f t="shared" si="27"/>
        <v>-11893.769999999999</v>
      </c>
      <c r="N124" s="347">
        <f t="shared" si="28"/>
        <v>-0.78420651126848873</v>
      </c>
    </row>
    <row r="125" spans="1:14" x14ac:dyDescent="0.25">
      <c r="A125" s="3"/>
      <c r="B125" s="204" t="s">
        <v>61</v>
      </c>
      <c r="C125" s="3"/>
      <c r="D125" s="323">
        <f>+'NOT TO USE.'!D125</f>
        <v>1800</v>
      </c>
      <c r="E125" s="315">
        <f>+'NOT TO USE.'!E125</f>
        <v>2368.2599999999993</v>
      </c>
      <c r="F125" s="315">
        <f>+'NOT TO USE.'!G125</f>
        <v>600</v>
      </c>
      <c r="G125" s="332">
        <f>+'NOT TO USE.'!H125</f>
        <v>403</v>
      </c>
      <c r="H125" s="332">
        <f>+'NOT TO USE.'!J125</f>
        <v>222</v>
      </c>
      <c r="J125" s="237">
        <f t="shared" si="25"/>
        <v>-568.25999999999931</v>
      </c>
      <c r="K125" s="347">
        <f t="shared" si="26"/>
        <v>-0.23994831648552079</v>
      </c>
      <c r="M125" s="237">
        <f t="shared" si="27"/>
        <v>1768.2599999999993</v>
      </c>
      <c r="N125" s="347">
        <f t="shared" si="28"/>
        <v>2.9470999999999989</v>
      </c>
    </row>
    <row r="126" spans="1:14" x14ac:dyDescent="0.25">
      <c r="A126" s="3"/>
      <c r="B126" s="222" t="s">
        <v>79</v>
      </c>
      <c r="C126" s="3"/>
      <c r="D126" s="323">
        <f>+'NOT TO USE.'!D126</f>
        <v>12600</v>
      </c>
      <c r="E126" s="162">
        <f>+'NOT TO USE.'!E126</f>
        <v>0</v>
      </c>
      <c r="F126" s="162">
        <f>+'NOT TO USE.'!G126</f>
        <v>12000</v>
      </c>
      <c r="G126" s="332">
        <f>+'NOT TO USE.'!H126</f>
        <v>4658</v>
      </c>
      <c r="H126" s="332">
        <f>+'NOT TO USE.'!J126</f>
        <v>13711</v>
      </c>
      <c r="J126" s="237">
        <f t="shared" si="25"/>
        <v>12600</v>
      </c>
      <c r="K126" s="347" t="e">
        <f t="shared" si="26"/>
        <v>#DIV/0!</v>
      </c>
      <c r="M126" s="237">
        <f t="shared" si="27"/>
        <v>-12000</v>
      </c>
      <c r="N126" s="347">
        <f t="shared" si="28"/>
        <v>-1</v>
      </c>
    </row>
    <row r="127" spans="1:14" x14ac:dyDescent="0.25">
      <c r="A127" s="1"/>
      <c r="B127" s="204" t="s">
        <v>93</v>
      </c>
      <c r="C127" s="1"/>
      <c r="D127" s="323">
        <f>+'NOT TO USE.'!D127</f>
        <v>335000</v>
      </c>
      <c r="E127" s="327">
        <f>+'NOT TO USE.'!E127</f>
        <v>317687.77324644401</v>
      </c>
      <c r="F127" s="327">
        <f>+'NOT TO USE.'!G127</f>
        <v>271740</v>
      </c>
      <c r="G127" s="332">
        <f>+'NOT TO USE.'!H127</f>
        <v>164886</v>
      </c>
      <c r="H127" s="332">
        <f>+'NOT TO USE.'!J127</f>
        <v>339426</v>
      </c>
      <c r="J127" s="237">
        <f t="shared" si="25"/>
        <v>17312.226753555995</v>
      </c>
      <c r="K127" s="347">
        <f t="shared" si="26"/>
        <v>5.44944697639533E-2</v>
      </c>
      <c r="M127" s="237">
        <f t="shared" si="27"/>
        <v>45947.773246444005</v>
      </c>
      <c r="N127" s="347">
        <f t="shared" si="28"/>
        <v>0.16908726446766764</v>
      </c>
    </row>
    <row r="128" spans="1:14" x14ac:dyDescent="0.25">
      <c r="A128" s="1"/>
      <c r="B128" s="204" t="s">
        <v>94</v>
      </c>
      <c r="C128" s="3"/>
      <c r="D128" s="323">
        <f>+'NOT TO USE.'!D128</f>
        <v>1200</v>
      </c>
      <c r="E128" s="315">
        <f>+'NOT TO USE.'!E128</f>
        <v>6085.5300000000007</v>
      </c>
      <c r="F128" s="315">
        <f>+'NOT TO USE.'!G128</f>
        <v>0</v>
      </c>
      <c r="G128" s="332">
        <f>+'NOT TO USE.'!H128</f>
        <v>0</v>
      </c>
      <c r="H128" s="332">
        <f>+'NOT TO USE.'!J128</f>
        <v>0</v>
      </c>
      <c r="J128" s="237">
        <f t="shared" si="25"/>
        <v>-4885.5300000000007</v>
      </c>
      <c r="K128" s="347">
        <f t="shared" si="26"/>
        <v>-0.8028109301901396</v>
      </c>
      <c r="M128" s="237">
        <f t="shared" si="27"/>
        <v>6085.5300000000007</v>
      </c>
      <c r="N128" s="347" t="e">
        <f t="shared" si="28"/>
        <v>#DIV/0!</v>
      </c>
    </row>
    <row r="129" spans="1:14" x14ac:dyDescent="0.25">
      <c r="A129" s="1"/>
      <c r="B129" s="204" t="s">
        <v>90</v>
      </c>
      <c r="C129" s="1"/>
      <c r="D129" s="323">
        <f>+'NOT TO USE.'!D129</f>
        <v>-224000</v>
      </c>
      <c r="E129" s="327">
        <f>+'NOT TO USE.'!E129</f>
        <v>-179139.06</v>
      </c>
      <c r="F129" s="327">
        <f>+'NOT TO USE.'!G129</f>
        <v>-186104.40000000002</v>
      </c>
      <c r="G129" s="332">
        <f>+'NOT TO USE.'!H129</f>
        <v>-98562</v>
      </c>
      <c r="H129" s="332">
        <f>+'NOT TO USE.'!J129</f>
        <v>-222667</v>
      </c>
      <c r="J129" s="237">
        <f t="shared" si="25"/>
        <v>-44860.94</v>
      </c>
      <c r="K129" s="347">
        <f t="shared" si="26"/>
        <v>0.25042522831145819</v>
      </c>
      <c r="M129" s="237">
        <f t="shared" si="27"/>
        <v>6965.3400000000256</v>
      </c>
      <c r="N129" s="347">
        <f t="shared" si="28"/>
        <v>-3.7427057071192434E-2</v>
      </c>
    </row>
    <row r="130" spans="1:14" x14ac:dyDescent="0.25">
      <c r="A130" s="1"/>
      <c r="B130" s="204" t="s">
        <v>95</v>
      </c>
      <c r="C130" s="3"/>
      <c r="D130" s="323">
        <f>+'NOT TO USE.'!D130</f>
        <v>57000</v>
      </c>
      <c r="E130" s="315">
        <f>+'NOT TO USE.'!E130</f>
        <v>55780.185420000002</v>
      </c>
      <c r="F130" s="315">
        <f>+'NOT TO USE.'!G130</f>
        <v>40150</v>
      </c>
      <c r="G130" s="332">
        <f>+'NOT TO USE.'!H130</f>
        <v>45775</v>
      </c>
      <c r="H130" s="332">
        <f>+'NOT TO USE.'!J130</f>
        <v>43500</v>
      </c>
      <c r="J130" s="237">
        <f t="shared" si="25"/>
        <v>1219.8145799999984</v>
      </c>
      <c r="K130" s="347">
        <f t="shared" si="26"/>
        <v>2.1868241756733808E-2</v>
      </c>
      <c r="M130" s="237">
        <f t="shared" si="27"/>
        <v>15630.185420000002</v>
      </c>
      <c r="N130" s="347">
        <f t="shared" si="28"/>
        <v>0.38929478007471985</v>
      </c>
    </row>
    <row r="131" spans="1:14" x14ac:dyDescent="0.25">
      <c r="A131" s="1"/>
      <c r="B131" s="204" t="s">
        <v>96</v>
      </c>
      <c r="C131" s="3"/>
      <c r="D131" s="324">
        <f>+'NOT TO USE.'!D131</f>
        <v>7200</v>
      </c>
      <c r="E131" s="315">
        <f>+'NOT TO USE.'!E131</f>
        <v>530.4</v>
      </c>
      <c r="F131" s="315">
        <f>+'NOT TO USE.'!G131</f>
        <v>9500.0399999999991</v>
      </c>
      <c r="G131" s="332">
        <f>+'NOT TO USE.'!H131</f>
        <v>7998</v>
      </c>
      <c r="H131" s="332">
        <f>+'NOT TO USE.'!J131</f>
        <v>7132</v>
      </c>
      <c r="J131" s="237">
        <f t="shared" si="25"/>
        <v>6669.6</v>
      </c>
      <c r="K131" s="347">
        <f t="shared" si="26"/>
        <v>12.574660633484164</v>
      </c>
      <c r="M131" s="237">
        <f t="shared" si="27"/>
        <v>-8969.64</v>
      </c>
      <c r="N131" s="347">
        <f t="shared" si="28"/>
        <v>-0.9441686561319742</v>
      </c>
    </row>
    <row r="132" spans="1:14" x14ac:dyDescent="0.25">
      <c r="A132" s="1"/>
      <c r="B132" s="205" t="s">
        <v>97</v>
      </c>
      <c r="C132" s="3"/>
      <c r="D132" s="325">
        <f>+'NOT TO USE.'!D132</f>
        <v>6100</v>
      </c>
      <c r="E132" s="328">
        <f>+'NOT TO USE.'!E132</f>
        <v>5404.85</v>
      </c>
      <c r="F132" s="328">
        <f>+'NOT TO USE.'!G132</f>
        <v>3788.3700000000008</v>
      </c>
      <c r="G132" s="333">
        <f>+'NOT TO USE.'!H132</f>
        <v>0</v>
      </c>
      <c r="H132" s="333">
        <f>+'NOT TO USE.'!J132</f>
        <v>5168</v>
      </c>
      <c r="J132" s="246">
        <f t="shared" si="25"/>
        <v>695.14999999999964</v>
      </c>
      <c r="K132" s="349">
        <f t="shared" si="26"/>
        <v>0.12861596529043351</v>
      </c>
      <c r="M132" s="246">
        <f t="shared" si="27"/>
        <v>1616.4799999999996</v>
      </c>
      <c r="N132" s="349">
        <f t="shared" si="28"/>
        <v>0.42669538614232488</v>
      </c>
    </row>
    <row r="133" spans="1:14" ht="15.75" thickBot="1" x14ac:dyDescent="0.3">
      <c r="A133" s="1"/>
      <c r="B133" s="210" t="s">
        <v>67</v>
      </c>
      <c r="C133" s="4"/>
      <c r="D133" s="223">
        <f>SUM(D122:D132)</f>
        <v>294300</v>
      </c>
      <c r="E133" s="319">
        <f>SUM(E122:E132)</f>
        <v>238287.12866644404</v>
      </c>
      <c r="F133" s="319">
        <f>SUM(F122:F132)</f>
        <v>239540.63999999998</v>
      </c>
      <c r="G133" s="319">
        <f>SUM(G122:G132)</f>
        <v>142873</v>
      </c>
      <c r="H133" s="319">
        <f>SUM(H122:H132)</f>
        <v>278468</v>
      </c>
      <c r="J133" s="241">
        <f t="shared" si="25"/>
        <v>56012.871333555959</v>
      </c>
      <c r="K133" s="353">
        <f t="shared" si="26"/>
        <v>0.23506461153410918</v>
      </c>
      <c r="M133" s="241">
        <f t="shared" si="27"/>
        <v>-1253.5113335559436</v>
      </c>
      <c r="N133" s="353">
        <f t="shared" si="28"/>
        <v>-5.2329798131788563E-3</v>
      </c>
    </row>
    <row r="134" spans="1:14" ht="15.75" thickBot="1" x14ac:dyDescent="0.3">
      <c r="A134" s="1"/>
      <c r="B134" s="48"/>
      <c r="C134" s="49"/>
      <c r="D134" s="57"/>
      <c r="E134" s="57"/>
      <c r="F134" s="57"/>
      <c r="G134" s="57"/>
      <c r="H134" s="57"/>
      <c r="J134" s="57"/>
      <c r="K134" s="232"/>
      <c r="M134" s="57"/>
      <c r="N134" s="232"/>
    </row>
    <row r="135" spans="1:14" ht="15.75" thickBot="1" x14ac:dyDescent="0.3">
      <c r="A135" s="1"/>
      <c r="B135" s="208" t="s">
        <v>68</v>
      </c>
      <c r="C135" s="4"/>
      <c r="D135" s="120"/>
      <c r="E135" s="120"/>
      <c r="F135" s="120"/>
      <c r="G135" s="120"/>
      <c r="H135" s="120"/>
      <c r="J135" s="120"/>
      <c r="K135" s="357"/>
      <c r="M135" s="120"/>
      <c r="N135" s="357"/>
    </row>
    <row r="136" spans="1:14" ht="15.75" thickBot="1" x14ac:dyDescent="0.3">
      <c r="A136" s="1"/>
      <c r="B136" s="220" t="s">
        <v>69</v>
      </c>
      <c r="C136" s="4"/>
      <c r="D136" s="217">
        <f>D119+D133</f>
        <v>431094.75</v>
      </c>
      <c r="E136" s="218">
        <f>E119+E133</f>
        <v>364865.12866644404</v>
      </c>
      <c r="F136" s="218">
        <f>F119+F133</f>
        <v>363471.54</v>
      </c>
      <c r="G136" s="219">
        <f>J119+J133</f>
        <v>66229.621333555959</v>
      </c>
      <c r="H136" s="219">
        <f>K119+K133</f>
        <v>0.3157796647029063</v>
      </c>
      <c r="J136" s="244">
        <f>D136-E136</f>
        <v>66229.621333555959</v>
      </c>
      <c r="K136" s="368">
        <f>+J136/E136</f>
        <v>0.1815180901929995</v>
      </c>
      <c r="M136" s="244">
        <f>E136-F136</f>
        <v>1393.5886664440623</v>
      </c>
      <c r="N136" s="368">
        <f>+M136/F136</f>
        <v>3.8341066990941362E-3</v>
      </c>
    </row>
    <row r="137" spans="1:14" x14ac:dyDescent="0.25">
      <c r="A137" s="1"/>
      <c r="B137" s="2"/>
      <c r="C137" s="4"/>
      <c r="D137" s="100"/>
      <c r="E137" s="100"/>
      <c r="F137" s="100"/>
      <c r="G137" s="100"/>
      <c r="H137" s="100"/>
      <c r="J137" s="100"/>
      <c r="K137" s="233"/>
      <c r="M137" s="100"/>
      <c r="N137" s="233"/>
    </row>
    <row r="138" spans="1:14" ht="15.75" thickBot="1" x14ac:dyDescent="0.3">
      <c r="A138" s="1"/>
      <c r="B138" s="48"/>
      <c r="C138" s="49"/>
      <c r="D138" s="76"/>
      <c r="E138" s="76"/>
      <c r="F138" s="76"/>
      <c r="G138" s="76"/>
      <c r="H138" s="76"/>
      <c r="J138" s="76"/>
      <c r="K138" s="232"/>
      <c r="M138" s="76"/>
      <c r="N138" s="232"/>
    </row>
    <row r="139" spans="1:14" ht="15.75" thickBot="1" x14ac:dyDescent="0.3">
      <c r="A139" s="1"/>
      <c r="B139" s="208" t="s">
        <v>98</v>
      </c>
      <c r="C139" s="4"/>
      <c r="D139" s="101"/>
      <c r="E139" s="101"/>
      <c r="F139" s="101"/>
      <c r="G139" s="101"/>
      <c r="H139" s="101"/>
      <c r="J139" s="101"/>
      <c r="K139" s="358"/>
      <c r="M139" s="101"/>
      <c r="N139" s="358"/>
    </row>
    <row r="140" spans="1:14" ht="15.75" thickBot="1" x14ac:dyDescent="0.3">
      <c r="A140" s="1"/>
      <c r="B140" s="48"/>
      <c r="C140" s="49"/>
      <c r="D140" s="103"/>
      <c r="E140" s="103"/>
      <c r="F140" s="103"/>
      <c r="G140" s="103"/>
      <c r="H140" s="103"/>
      <c r="J140" s="103"/>
      <c r="K140" s="356"/>
      <c r="M140" s="103"/>
      <c r="N140" s="356"/>
    </row>
    <row r="141" spans="1:14" ht="15.75" thickBot="1" x14ac:dyDescent="0.3">
      <c r="A141" s="1"/>
      <c r="B141" s="208" t="s">
        <v>48</v>
      </c>
      <c r="C141" s="4"/>
      <c r="D141" s="224" t="str">
        <f>D3</f>
        <v>BUDGET 2022</v>
      </c>
      <c r="E141" s="224" t="str">
        <f t="shared" ref="E141:H141" si="29">E3</f>
        <v>ACTUAL 2021</v>
      </c>
      <c r="F141" s="224" t="str">
        <f t="shared" si="29"/>
        <v>BUDGET 2021</v>
      </c>
      <c r="G141" s="224" t="str">
        <f t="shared" si="29"/>
        <v>ACTUAL 2020</v>
      </c>
      <c r="H141" s="224" t="str">
        <f t="shared" si="29"/>
        <v>ACTUAL 2019</v>
      </c>
      <c r="J141" s="235" t="str">
        <f>+J$3</f>
        <v>B 2022 vs Act 2021</v>
      </c>
      <c r="K141" s="372" t="str">
        <f>+K$3</f>
        <v>%</v>
      </c>
      <c r="M141" s="235" t="str">
        <f>+M$3</f>
        <v>Act 2021 vs Bud 2021</v>
      </c>
      <c r="N141" s="372" t="str">
        <f>+N$3</f>
        <v>%</v>
      </c>
    </row>
    <row r="142" spans="1:14" x14ac:dyDescent="0.25">
      <c r="A142" s="1"/>
      <c r="B142" s="225" t="s">
        <v>99</v>
      </c>
      <c r="C142" s="3"/>
      <c r="D142" s="334"/>
      <c r="E142" s="340"/>
      <c r="F142" s="340"/>
      <c r="G142" s="337"/>
      <c r="H142" s="337"/>
      <c r="J142" s="245"/>
      <c r="K142" s="347"/>
      <c r="M142" s="245"/>
      <c r="N142" s="347"/>
    </row>
    <row r="143" spans="1:14" x14ac:dyDescent="0.25">
      <c r="A143" s="1"/>
      <c r="B143" s="203" t="s">
        <v>100</v>
      </c>
      <c r="C143" s="4"/>
      <c r="D143" s="335"/>
      <c r="E143" s="341"/>
      <c r="F143" s="341"/>
      <c r="G143" s="338"/>
      <c r="H143" s="338"/>
      <c r="J143" s="245"/>
      <c r="K143" s="347"/>
      <c r="M143" s="245"/>
      <c r="N143" s="347"/>
    </row>
    <row r="144" spans="1:14" x14ac:dyDescent="0.25">
      <c r="A144" s="1"/>
      <c r="B144" s="204"/>
      <c r="C144" s="3"/>
      <c r="D144" s="335"/>
      <c r="E144" s="341"/>
      <c r="F144" s="341"/>
      <c r="G144" s="338"/>
      <c r="H144" s="338"/>
      <c r="J144" s="245"/>
      <c r="K144" s="347"/>
      <c r="M144" s="245"/>
      <c r="N144" s="347"/>
    </row>
    <row r="145" spans="1:14" x14ac:dyDescent="0.25">
      <c r="A145" s="1"/>
      <c r="B145" s="204" t="s">
        <v>50</v>
      </c>
      <c r="C145" s="3"/>
      <c r="D145" s="335"/>
      <c r="E145" s="341"/>
      <c r="F145" s="341"/>
      <c r="G145" s="338"/>
      <c r="H145" s="338"/>
      <c r="J145" s="245"/>
      <c r="K145" s="347"/>
      <c r="M145" s="245"/>
      <c r="N145" s="347"/>
    </row>
    <row r="146" spans="1:14" x14ac:dyDescent="0.25">
      <c r="A146" s="1"/>
      <c r="B146" s="204" t="s">
        <v>73</v>
      </c>
      <c r="C146" s="3"/>
      <c r="D146" s="335"/>
      <c r="E146" s="341"/>
      <c r="F146" s="341"/>
      <c r="G146" s="338"/>
      <c r="H146" s="338"/>
      <c r="J146" s="245"/>
      <c r="K146" s="347"/>
      <c r="M146" s="245"/>
      <c r="N146" s="347"/>
    </row>
    <row r="147" spans="1:14" x14ac:dyDescent="0.25">
      <c r="A147" s="1"/>
      <c r="B147" s="204" t="s">
        <v>52</v>
      </c>
      <c r="C147" s="3"/>
      <c r="D147" s="335"/>
      <c r="E147" s="341"/>
      <c r="F147" s="341"/>
      <c r="G147" s="338"/>
      <c r="H147" s="338"/>
      <c r="J147" s="245"/>
      <c r="K147" s="347"/>
      <c r="M147" s="245"/>
      <c r="N147" s="347"/>
    </row>
    <row r="148" spans="1:14" x14ac:dyDescent="0.25">
      <c r="A148" s="1"/>
      <c r="B148" s="204" t="s">
        <v>53</v>
      </c>
      <c r="C148" s="3"/>
      <c r="D148" s="335"/>
      <c r="E148" s="341"/>
      <c r="F148" s="341"/>
      <c r="G148" s="338"/>
      <c r="H148" s="338"/>
      <c r="J148" s="245"/>
      <c r="K148" s="347"/>
      <c r="M148" s="245"/>
      <c r="N148" s="347"/>
    </row>
    <row r="149" spans="1:14" x14ac:dyDescent="0.25">
      <c r="A149" s="1"/>
      <c r="B149" s="226" t="s">
        <v>54</v>
      </c>
      <c r="C149" s="3"/>
      <c r="D149" s="336"/>
      <c r="E149" s="342"/>
      <c r="F149" s="342"/>
      <c r="G149" s="339"/>
      <c r="H149" s="339"/>
      <c r="J149" s="247"/>
      <c r="K149" s="349"/>
      <c r="M149" s="247"/>
      <c r="N149" s="349"/>
    </row>
    <row r="150" spans="1:14" x14ac:dyDescent="0.25">
      <c r="A150" s="1"/>
      <c r="B150" s="203" t="s">
        <v>101</v>
      </c>
      <c r="C150" s="4"/>
      <c r="D150" s="335"/>
      <c r="E150" s="341"/>
      <c r="F150" s="341"/>
      <c r="G150" s="338"/>
      <c r="H150" s="338"/>
      <c r="J150" s="245"/>
      <c r="K150" s="347"/>
      <c r="M150" s="245"/>
      <c r="N150" s="347"/>
    </row>
    <row r="151" spans="1:14" x14ac:dyDescent="0.25">
      <c r="A151" s="1"/>
      <c r="B151" s="227"/>
      <c r="C151" s="4"/>
      <c r="D151" s="335"/>
      <c r="E151" s="341"/>
      <c r="F151" s="341"/>
      <c r="G151" s="338"/>
      <c r="H151" s="338"/>
      <c r="J151" s="245"/>
      <c r="K151" s="347"/>
      <c r="M151" s="245"/>
      <c r="N151" s="347"/>
    </row>
    <row r="152" spans="1:14" x14ac:dyDescent="0.25">
      <c r="A152" s="1"/>
      <c r="B152" s="203" t="s">
        <v>102</v>
      </c>
      <c r="C152" s="4"/>
      <c r="D152" s="213">
        <f>+'NOT TO USE.'!D152</f>
        <v>74300</v>
      </c>
      <c r="E152" s="311">
        <f>+'NOT TO USE.'!E152</f>
        <v>69485</v>
      </c>
      <c r="F152" s="311">
        <f>+'NOT TO USE.'!G152</f>
        <v>63125</v>
      </c>
      <c r="G152" s="229">
        <f>+'NOT TO USE.'!H152</f>
        <v>59010</v>
      </c>
      <c r="H152" s="229">
        <f>+'NOT TO USE.'!J152</f>
        <v>59010</v>
      </c>
      <c r="J152" s="237">
        <f>D152-E152</f>
        <v>4815</v>
      </c>
      <c r="K152" s="347">
        <f>+J152/E152</f>
        <v>6.929553140965676E-2</v>
      </c>
      <c r="M152" s="237">
        <f>E152-F152</f>
        <v>6360</v>
      </c>
      <c r="N152" s="347">
        <f>+M152/F152</f>
        <v>0.10075247524752476</v>
      </c>
    </row>
    <row r="153" spans="1:14" x14ac:dyDescent="0.25">
      <c r="A153" s="1"/>
      <c r="B153" s="204"/>
      <c r="C153" s="3"/>
      <c r="D153" s="335"/>
      <c r="E153" s="341"/>
      <c r="F153" s="341"/>
      <c r="G153" s="338"/>
      <c r="H153" s="338"/>
      <c r="J153" s="246">
        <f>D153-E153</f>
        <v>0</v>
      </c>
      <c r="K153" s="349" t="e">
        <f>+J153/E153</f>
        <v>#DIV/0!</v>
      </c>
      <c r="M153" s="246">
        <f>E153-F153</f>
        <v>0</v>
      </c>
      <c r="N153" s="349" t="e">
        <f>+M153/F153</f>
        <v>#DIV/0!</v>
      </c>
    </row>
    <row r="154" spans="1:14" ht="15.75" thickBot="1" x14ac:dyDescent="0.3">
      <c r="A154" s="1"/>
      <c r="B154" s="206" t="s">
        <v>55</v>
      </c>
      <c r="C154" s="4"/>
      <c r="D154" s="228">
        <f>D152</f>
        <v>74300</v>
      </c>
      <c r="E154" s="228">
        <f t="shared" ref="E154:H154" si="30">E152</f>
        <v>69485</v>
      </c>
      <c r="F154" s="228">
        <f t="shared" si="30"/>
        <v>63125</v>
      </c>
      <c r="G154" s="228">
        <f t="shared" si="30"/>
        <v>59010</v>
      </c>
      <c r="H154" s="228">
        <f t="shared" si="30"/>
        <v>59010</v>
      </c>
      <c r="J154" s="241">
        <f>D154-E154</f>
        <v>4815</v>
      </c>
      <c r="K154" s="353">
        <f>+J154/E154</f>
        <v>6.929553140965676E-2</v>
      </c>
      <c r="M154" s="241">
        <f>E154-F154</f>
        <v>6360</v>
      </c>
      <c r="N154" s="353">
        <f>+M154/F154</f>
        <v>0.10075247524752476</v>
      </c>
    </row>
    <row r="155" spans="1:14" ht="15.75" thickBot="1" x14ac:dyDescent="0.3">
      <c r="A155" s="1"/>
      <c r="B155" s="48"/>
      <c r="C155" s="49"/>
      <c r="D155" s="57"/>
      <c r="E155" s="57"/>
      <c r="F155" s="57"/>
      <c r="G155" s="57"/>
      <c r="H155" s="57"/>
      <c r="J155" s="57"/>
      <c r="K155" s="232"/>
      <c r="M155" s="57"/>
      <c r="N155" s="232"/>
    </row>
    <row r="156" spans="1:14" ht="15.75" thickBot="1" x14ac:dyDescent="0.3">
      <c r="A156" s="1"/>
      <c r="B156" s="208" t="s">
        <v>56</v>
      </c>
      <c r="C156" s="4"/>
      <c r="D156" s="9"/>
      <c r="E156" s="9"/>
      <c r="F156" s="9"/>
      <c r="G156" s="9"/>
      <c r="H156" s="9"/>
      <c r="J156" s="9"/>
      <c r="K156" s="357"/>
      <c r="M156" s="9"/>
      <c r="N156" s="357"/>
    </row>
    <row r="157" spans="1:14" x14ac:dyDescent="0.25">
      <c r="A157" s="1"/>
      <c r="B157" s="211" t="s">
        <v>103</v>
      </c>
      <c r="C157" s="3"/>
      <c r="D157" s="212">
        <f>+'NOT TO USE.'!D157</f>
        <v>4500</v>
      </c>
      <c r="E157" s="317">
        <f>+'NOT TO USE.'!E157</f>
        <v>4500</v>
      </c>
      <c r="F157" s="317">
        <f>+'NOT TO USE.'!G157</f>
        <v>4500</v>
      </c>
      <c r="G157" s="318">
        <f>+'NOT TO USE.'!H157</f>
        <v>4100</v>
      </c>
      <c r="H157" s="318">
        <f>+'NOT TO USE.'!J157</f>
        <v>4500</v>
      </c>
      <c r="J157" s="236">
        <f>D157-E157</f>
        <v>0</v>
      </c>
      <c r="K157" s="366"/>
      <c r="M157" s="236">
        <f>E157-F157</f>
        <v>0</v>
      </c>
      <c r="N157" s="366"/>
    </row>
    <row r="158" spans="1:14" x14ac:dyDescent="0.25">
      <c r="A158" s="1"/>
      <c r="B158" s="204" t="s">
        <v>104</v>
      </c>
      <c r="C158" s="3"/>
      <c r="D158" s="213"/>
      <c r="E158" s="311"/>
      <c r="F158" s="311"/>
      <c r="G158" s="229"/>
      <c r="H158" s="229"/>
      <c r="J158" s="237">
        <f>D158-E158</f>
        <v>0</v>
      </c>
      <c r="K158" s="347"/>
      <c r="M158" s="237">
        <f>E158-F158</f>
        <v>0</v>
      </c>
      <c r="N158" s="347"/>
    </row>
    <row r="159" spans="1:14" x14ac:dyDescent="0.25">
      <c r="A159" s="1"/>
      <c r="B159" s="204" t="s">
        <v>94</v>
      </c>
      <c r="C159" s="3"/>
      <c r="D159" s="213">
        <f>+'NOT TO USE.'!D159</f>
        <v>3600</v>
      </c>
      <c r="E159" s="311">
        <f>+'NOT TO USE.'!E159</f>
        <v>266.5</v>
      </c>
      <c r="F159" s="311">
        <f>+'NOT TO USE.'!G159</f>
        <v>3667</v>
      </c>
      <c r="G159" s="229">
        <f>+'NOT TO USE.'!H159</f>
        <v>0</v>
      </c>
      <c r="H159" s="229">
        <f>+'NOT TO USE.'!J159</f>
        <v>0</v>
      </c>
      <c r="J159" s="246">
        <f>D159-E159</f>
        <v>3333.5</v>
      </c>
      <c r="K159" s="349">
        <f>+J159/E159</f>
        <v>12.50844277673546</v>
      </c>
      <c r="M159" s="246">
        <f>E159-F159</f>
        <v>-3400.5</v>
      </c>
      <c r="N159" s="349">
        <f>+M159/F159</f>
        <v>-0.92732478865557677</v>
      </c>
    </row>
    <row r="160" spans="1:14" ht="15.75" thickBot="1" x14ac:dyDescent="0.3">
      <c r="A160" s="1"/>
      <c r="B160" s="206" t="s">
        <v>67</v>
      </c>
      <c r="C160" s="4"/>
      <c r="D160" s="228">
        <f>SUM(D157:D159)</f>
        <v>8100</v>
      </c>
      <c r="E160" s="343">
        <f>SUM(E157:E159)</f>
        <v>4766.5</v>
      </c>
      <c r="F160" s="343">
        <f>SUM(F157:F159)</f>
        <v>8167</v>
      </c>
      <c r="G160" s="343">
        <f>SUM(G157:G159)</f>
        <v>4100</v>
      </c>
      <c r="H160" s="343">
        <f>SUM(H157:H159)</f>
        <v>4500</v>
      </c>
      <c r="J160" s="242">
        <f>D160-E160</f>
        <v>3333.5</v>
      </c>
      <c r="K160" s="367">
        <f>+J160/E160</f>
        <v>0.69936011748662541</v>
      </c>
      <c r="M160" s="242">
        <f>E160-F160</f>
        <v>-3400.5</v>
      </c>
      <c r="N160" s="367">
        <f>+M160/F160</f>
        <v>-0.41637076037712745</v>
      </c>
    </row>
    <row r="161" spans="1:14" ht="15.75" thickBot="1" x14ac:dyDescent="0.3">
      <c r="A161" s="1"/>
      <c r="B161" s="48"/>
      <c r="C161" s="49"/>
      <c r="D161" s="76"/>
      <c r="E161" s="76"/>
      <c r="F161" s="76"/>
      <c r="G161" s="76"/>
      <c r="H161" s="76"/>
      <c r="J161" s="76"/>
      <c r="K161" s="232"/>
      <c r="M161" s="76"/>
      <c r="N161" s="232"/>
    </row>
    <row r="162" spans="1:14" ht="15.75" thickBot="1" x14ac:dyDescent="0.3">
      <c r="A162" s="1"/>
      <c r="B162" s="208" t="s">
        <v>68</v>
      </c>
      <c r="C162" s="4"/>
      <c r="D162" s="9"/>
      <c r="E162" s="9"/>
      <c r="F162" s="9"/>
      <c r="G162" s="9"/>
      <c r="H162" s="9"/>
      <c r="J162" s="9"/>
      <c r="K162" s="357"/>
      <c r="M162" s="9"/>
      <c r="N162" s="357"/>
    </row>
    <row r="163" spans="1:14" ht="15.75" thickBot="1" x14ac:dyDescent="0.3">
      <c r="A163" s="1"/>
      <c r="B163" s="220" t="s">
        <v>69</v>
      </c>
      <c r="C163" s="4"/>
      <c r="D163" s="217">
        <f>D154+D160</f>
        <v>82400</v>
      </c>
      <c r="E163" s="218">
        <f>E154+E160</f>
        <v>74251.5</v>
      </c>
      <c r="F163" s="218">
        <f>F154+F160</f>
        <v>71292</v>
      </c>
      <c r="G163" s="219">
        <f>G154+G160</f>
        <v>63110</v>
      </c>
      <c r="H163" s="219">
        <f>H154+H160</f>
        <v>63510</v>
      </c>
      <c r="J163" s="244">
        <f>D163-E163</f>
        <v>8148.5</v>
      </c>
      <c r="K163" s="368">
        <f>+J163/E163</f>
        <v>0.10974189073621408</v>
      </c>
      <c r="M163" s="244">
        <f>E163-F163</f>
        <v>2959.5</v>
      </c>
      <c r="N163" s="368">
        <f>+M163/F163</f>
        <v>4.15123716546036E-2</v>
      </c>
    </row>
    <row r="164" spans="1:14" x14ac:dyDescent="0.25">
      <c r="A164" s="1"/>
      <c r="B164" s="2"/>
      <c r="C164" s="4"/>
      <c r="D164" s="100"/>
      <c r="E164" s="100"/>
      <c r="F164" s="100"/>
      <c r="G164" s="100"/>
      <c r="H164" s="100"/>
      <c r="J164" s="100"/>
      <c r="K164" s="233"/>
      <c r="M164" s="100"/>
      <c r="N164" s="233"/>
    </row>
    <row r="165" spans="1:14" ht="15.75" thickBot="1" x14ac:dyDescent="0.3">
      <c r="A165" s="1"/>
      <c r="B165" s="48"/>
      <c r="C165" s="49"/>
      <c r="D165" s="76"/>
      <c r="E165" s="76"/>
      <c r="F165" s="76"/>
      <c r="G165" s="76"/>
      <c r="H165" s="76"/>
      <c r="J165" s="76"/>
      <c r="K165" s="232"/>
      <c r="M165" s="76"/>
      <c r="N165" s="232"/>
    </row>
    <row r="166" spans="1:14" ht="15.75" thickBot="1" x14ac:dyDescent="0.3">
      <c r="A166" s="1"/>
      <c r="B166" s="208" t="s">
        <v>105</v>
      </c>
      <c r="C166" s="4"/>
      <c r="D166" s="101"/>
      <c r="E166" s="101"/>
      <c r="F166" s="101"/>
      <c r="G166" s="101"/>
      <c r="H166" s="101"/>
      <c r="J166" s="101"/>
      <c r="K166" s="358"/>
      <c r="M166" s="101"/>
      <c r="N166" s="358"/>
    </row>
    <row r="167" spans="1:14" ht="15.75" thickBot="1" x14ac:dyDescent="0.3">
      <c r="A167" s="1"/>
      <c r="B167" s="48"/>
      <c r="C167" s="49"/>
      <c r="D167" s="103"/>
      <c r="E167" s="103"/>
      <c r="F167" s="103"/>
      <c r="G167" s="103"/>
      <c r="H167" s="103"/>
      <c r="J167" s="103"/>
      <c r="K167" s="356"/>
      <c r="M167" s="103"/>
      <c r="N167" s="356"/>
    </row>
    <row r="168" spans="1:14" ht="15.75" thickBot="1" x14ac:dyDescent="0.3">
      <c r="A168" s="1"/>
      <c r="B168" s="209" t="s">
        <v>56</v>
      </c>
      <c r="C168" s="4"/>
      <c r="D168" s="369" t="str">
        <f>D3</f>
        <v>BUDGET 2022</v>
      </c>
      <c r="E168" s="369" t="str">
        <f t="shared" ref="E168:H168" si="31">E3</f>
        <v>ACTUAL 2021</v>
      </c>
      <c r="F168" s="369" t="str">
        <f t="shared" si="31"/>
        <v>BUDGET 2021</v>
      </c>
      <c r="G168" s="369" t="str">
        <f t="shared" si="31"/>
        <v>ACTUAL 2020</v>
      </c>
      <c r="H168" s="369" t="str">
        <f t="shared" si="31"/>
        <v>ACTUAL 2019</v>
      </c>
      <c r="J168" s="235" t="str">
        <f>+J$3</f>
        <v>B 2022 vs Act 2021</v>
      </c>
      <c r="K168" s="372" t="str">
        <f>+K$3</f>
        <v>%</v>
      </c>
      <c r="M168" s="235" t="str">
        <f>+M$3</f>
        <v>Act 2021 vs Bud 2021</v>
      </c>
      <c r="N168" s="372" t="str">
        <f>+N$3</f>
        <v>%</v>
      </c>
    </row>
    <row r="169" spans="1:14" x14ac:dyDescent="0.25">
      <c r="A169" s="1"/>
      <c r="B169" s="204" t="s">
        <v>106</v>
      </c>
      <c r="C169" s="3"/>
      <c r="D169" s="213">
        <f>+'NOT TO USE.'!D169</f>
        <v>192000</v>
      </c>
      <c r="E169" s="311">
        <f>+'NOT TO USE.'!E169</f>
        <v>188395</v>
      </c>
      <c r="F169" s="311">
        <f>+'NOT TO USE.'!G169</f>
        <v>130000</v>
      </c>
      <c r="G169" s="311">
        <f>+'NOT TO USE.'!H169</f>
        <v>79614</v>
      </c>
      <c r="H169" s="311">
        <f>+'NOT TO USE.'!J169</f>
        <v>140979</v>
      </c>
      <c r="J169" s="237">
        <f>D169-E169</f>
        <v>3605</v>
      </c>
      <c r="K169" s="347">
        <f>+J169/E169</f>
        <v>1.9135327370683936E-2</v>
      </c>
      <c r="M169" s="237">
        <f>E169-F169</f>
        <v>58395</v>
      </c>
      <c r="N169" s="347">
        <f>+M169/F169</f>
        <v>0.44919230769230767</v>
      </c>
    </row>
    <row r="170" spans="1:14" x14ac:dyDescent="0.25">
      <c r="A170" s="1"/>
      <c r="B170" s="204" t="s">
        <v>107</v>
      </c>
      <c r="C170" s="3"/>
      <c r="D170" s="213">
        <f>+'NOT TO USE.'!D170</f>
        <v>49000</v>
      </c>
      <c r="E170" s="311">
        <f>+'NOT TO USE.'!E170</f>
        <v>43291</v>
      </c>
      <c r="F170" s="311">
        <f>+'NOT TO USE.'!G170</f>
        <v>34000</v>
      </c>
      <c r="G170" s="311">
        <f>+'NOT TO USE.'!H170</f>
        <v>22545</v>
      </c>
      <c r="H170" s="311">
        <f>+'NOT TO USE.'!J170</f>
        <v>94239</v>
      </c>
      <c r="J170" s="237">
        <f>D170-E170</f>
        <v>5709</v>
      </c>
      <c r="K170" s="347">
        <f>+J170/E170</f>
        <v>0.13187498556281907</v>
      </c>
      <c r="M170" s="237">
        <f>E170-F170</f>
        <v>9291</v>
      </c>
      <c r="N170" s="347">
        <f>+M170/F170</f>
        <v>0.27326470588235297</v>
      </c>
    </row>
    <row r="171" spans="1:14" x14ac:dyDescent="0.25">
      <c r="A171" s="1"/>
      <c r="B171" s="204" t="s">
        <v>108</v>
      </c>
      <c r="C171" s="3"/>
      <c r="D171" s="213">
        <f>+'NOT TO USE.'!D171</f>
        <v>25000</v>
      </c>
      <c r="E171" s="311">
        <f>+'NOT TO USE.'!E171</f>
        <v>52006</v>
      </c>
      <c r="F171" s="311">
        <f>+'NOT TO USE.'!G171</f>
        <v>34250</v>
      </c>
      <c r="G171" s="311">
        <f>+'NOT TO USE.'!H171</f>
        <v>37387</v>
      </c>
      <c r="H171" s="311">
        <f>+'NOT TO USE.'!J171</f>
        <v>27670</v>
      </c>
      <c r="J171" s="246">
        <f>D171-E171</f>
        <v>-27006</v>
      </c>
      <c r="K171" s="349">
        <f>+J171/E171</f>
        <v>-0.51928623620351499</v>
      </c>
      <c r="M171" s="246">
        <f>E171-F171</f>
        <v>17756</v>
      </c>
      <c r="N171" s="349">
        <f>+M171/F171</f>
        <v>0.51842335766423353</v>
      </c>
    </row>
    <row r="172" spans="1:14" ht="15.75" thickBot="1" x14ac:dyDescent="0.3">
      <c r="A172" s="1"/>
      <c r="B172" s="206" t="s">
        <v>67</v>
      </c>
      <c r="C172" s="4"/>
      <c r="D172" s="228">
        <f>SUM(D169:D171)</f>
        <v>266000</v>
      </c>
      <c r="E172" s="343">
        <f>SUM(E169:E171)</f>
        <v>283692</v>
      </c>
      <c r="F172" s="343">
        <f>SUM(F169:F171)</f>
        <v>198250</v>
      </c>
      <c r="G172" s="343">
        <f>SUM(G169:G171)</f>
        <v>139546</v>
      </c>
      <c r="H172" s="343">
        <f>SUM(H169:H171)</f>
        <v>262888</v>
      </c>
      <c r="J172" s="241">
        <f>D172-E172</f>
        <v>-17692</v>
      </c>
      <c r="K172" s="353">
        <f>+J172/E172</f>
        <v>-6.2363408203262694E-2</v>
      </c>
      <c r="M172" s="241">
        <f>E172-F172</f>
        <v>85442</v>
      </c>
      <c r="N172" s="353">
        <f>+M172/F172</f>
        <v>0.43098108448928119</v>
      </c>
    </row>
    <row r="173" spans="1:14" x14ac:dyDescent="0.25">
      <c r="A173" s="1"/>
      <c r="B173" s="48"/>
      <c r="C173" s="49"/>
      <c r="D173" s="76"/>
      <c r="E173" s="76"/>
      <c r="F173" s="76"/>
      <c r="G173" s="76"/>
      <c r="H173" s="76"/>
      <c r="J173" s="76"/>
      <c r="K173" s="232"/>
      <c r="M173" s="76"/>
      <c r="N173" s="232"/>
    </row>
  </sheetData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62CDE-B8E3-44A3-903D-FCF8E43B33DB}">
  <sheetPr>
    <pageSetUpPr fitToPage="1"/>
  </sheetPr>
  <dimension ref="B2:F45"/>
  <sheetViews>
    <sheetView workbookViewId="0">
      <pane ySplit="6" topLeftCell="A7" activePane="bottomLeft" state="frozen"/>
      <selection pane="bottomLeft" activeCell="B43" sqref="B43"/>
    </sheetView>
  </sheetViews>
  <sheetFormatPr defaultRowHeight="15" x14ac:dyDescent="0.25"/>
  <cols>
    <col min="2" max="2" width="51.7109375" customWidth="1"/>
    <col min="3" max="4" width="11.7109375" customWidth="1"/>
    <col min="5" max="5" width="45.5703125" customWidth="1"/>
    <col min="6" max="6" width="16" customWidth="1"/>
  </cols>
  <sheetData>
    <row r="2" spans="2:6" x14ac:dyDescent="0.25">
      <c r="B2" s="668" t="s">
        <v>560</v>
      </c>
    </row>
    <row r="3" spans="2:6" x14ac:dyDescent="0.25">
      <c r="B3" s="668" t="s">
        <v>530</v>
      </c>
    </row>
    <row r="4" spans="2:6" x14ac:dyDescent="0.25">
      <c r="C4" s="669" t="s">
        <v>531</v>
      </c>
      <c r="D4" s="669" t="s">
        <v>532</v>
      </c>
    </row>
    <row r="5" spans="2:6" x14ac:dyDescent="0.25">
      <c r="C5" s="669" t="s">
        <v>533</v>
      </c>
      <c r="D5" s="669" t="s">
        <v>533</v>
      </c>
    </row>
    <row r="6" spans="2:6" ht="15.75" thickBot="1" x14ac:dyDescent="0.3">
      <c r="B6" s="670" t="s">
        <v>534</v>
      </c>
      <c r="C6" s="671" t="s">
        <v>535</v>
      </c>
      <c r="D6" s="671" t="s">
        <v>535</v>
      </c>
    </row>
    <row r="7" spans="2:6" x14ac:dyDescent="0.25">
      <c r="B7" t="s">
        <v>536</v>
      </c>
      <c r="C7" s="436">
        <f>33067</f>
        <v>33067</v>
      </c>
      <c r="D7" s="436"/>
    </row>
    <row r="8" spans="2:6" x14ac:dyDescent="0.25">
      <c r="B8" t="s">
        <v>538</v>
      </c>
      <c r="C8" s="436">
        <f>2751+707-1167-1290</f>
        <v>1001</v>
      </c>
      <c r="D8" s="436"/>
    </row>
    <row r="9" spans="2:6" x14ac:dyDescent="0.25">
      <c r="B9" t="s">
        <v>537</v>
      </c>
      <c r="D9" s="436">
        <f>507-974-534</f>
        <v>-1001</v>
      </c>
    </row>
    <row r="10" spans="2:6" x14ac:dyDescent="0.25">
      <c r="C10" s="436"/>
      <c r="D10" s="436"/>
    </row>
    <row r="11" spans="2:6" x14ac:dyDescent="0.25">
      <c r="B11" s="427" t="s">
        <v>539</v>
      </c>
      <c r="C11" s="672">
        <f>SUM(C7:C9)</f>
        <v>34068</v>
      </c>
      <c r="D11" s="672">
        <f>SUM(D7:D9)</f>
        <v>-1001</v>
      </c>
      <c r="F11" s="436"/>
    </row>
    <row r="12" spans="2:6" x14ac:dyDescent="0.25">
      <c r="C12" s="436">
        <f>D11+C11</f>
        <v>33067</v>
      </c>
    </row>
    <row r="13" spans="2:6" x14ac:dyDescent="0.25">
      <c r="C13" s="436"/>
      <c r="D13" s="436"/>
    </row>
    <row r="14" spans="2:6" ht="15.75" thickBot="1" x14ac:dyDescent="0.3">
      <c r="B14" s="670" t="s">
        <v>540</v>
      </c>
      <c r="C14" s="671"/>
      <c r="D14" s="671"/>
    </row>
    <row r="15" spans="2:6" x14ac:dyDescent="0.25">
      <c r="B15" t="s">
        <v>545</v>
      </c>
      <c r="C15" s="436">
        <f>-9321</f>
        <v>-9321</v>
      </c>
      <c r="F15" s="436"/>
    </row>
    <row r="16" spans="2:6" x14ac:dyDescent="0.25">
      <c r="B16" t="s">
        <v>549</v>
      </c>
      <c r="C16" s="436">
        <f>-(285-175+479-1422+8234+1)</f>
        <v>-7402</v>
      </c>
    </row>
    <row r="17" spans="2:6" x14ac:dyDescent="0.25">
      <c r="B17" t="s">
        <v>553</v>
      </c>
      <c r="C17" s="678">
        <f>-(970-3433+225+836+1623+1062+3350+360-243+673)</f>
        <v>-5423</v>
      </c>
      <c r="F17" s="436"/>
    </row>
    <row r="18" spans="2:6" x14ac:dyDescent="0.25">
      <c r="B18" t="s">
        <v>559</v>
      </c>
      <c r="C18" s="436">
        <f>-4980</f>
        <v>-4980</v>
      </c>
      <c r="F18" s="436"/>
    </row>
    <row r="19" spans="2:6" ht="13.9" customHeight="1" x14ac:dyDescent="0.25">
      <c r="B19" t="s">
        <v>547</v>
      </c>
      <c r="C19" s="436">
        <v>-4730</v>
      </c>
      <c r="F19" s="436"/>
    </row>
    <row r="20" spans="2:6" x14ac:dyDescent="0.25">
      <c r="B20" t="s">
        <v>555</v>
      </c>
      <c r="C20" s="436">
        <f>-4100</f>
        <v>-4100</v>
      </c>
    </row>
    <row r="21" spans="2:6" x14ac:dyDescent="0.25">
      <c r="B21" t="s">
        <v>97</v>
      </c>
      <c r="C21" s="436">
        <v>-2659</v>
      </c>
      <c r="F21" s="436"/>
    </row>
    <row r="22" spans="2:6" x14ac:dyDescent="0.25">
      <c r="B22" t="s">
        <v>546</v>
      </c>
      <c r="C22" s="436">
        <f>-2601</f>
        <v>-2601</v>
      </c>
      <c r="F22" s="436"/>
    </row>
    <row r="23" spans="2:6" x14ac:dyDescent="0.25">
      <c r="B23" t="s">
        <v>552</v>
      </c>
      <c r="C23" s="436">
        <f>-4942/2</f>
        <v>-2471</v>
      </c>
      <c r="F23" s="436"/>
    </row>
    <row r="24" spans="2:6" x14ac:dyDescent="0.25">
      <c r="B24" t="s">
        <v>554</v>
      </c>
      <c r="C24" s="436">
        <f>-1816</f>
        <v>-1816</v>
      </c>
      <c r="F24" s="436"/>
    </row>
    <row r="25" spans="2:6" x14ac:dyDescent="0.25">
      <c r="B25" t="s">
        <v>548</v>
      </c>
      <c r="C25" s="436">
        <v>-940</v>
      </c>
      <c r="F25" s="436"/>
    </row>
    <row r="26" spans="2:6" x14ac:dyDescent="0.25">
      <c r="B26" t="s">
        <v>550</v>
      </c>
      <c r="C26" s="436">
        <f>-(-488+1935)/2</f>
        <v>-723.5</v>
      </c>
      <c r="E26" s="677" t="s">
        <v>572</v>
      </c>
      <c r="F26" s="436"/>
    </row>
    <row r="27" spans="2:6" x14ac:dyDescent="0.25">
      <c r="B27" t="s">
        <v>107</v>
      </c>
      <c r="C27" s="436">
        <v>-511</v>
      </c>
      <c r="E27" s="677" t="s">
        <v>573</v>
      </c>
      <c r="F27" s="436"/>
    </row>
    <row r="28" spans="2:6" x14ac:dyDescent="0.25">
      <c r="B28" t="s">
        <v>76</v>
      </c>
      <c r="D28" s="436">
        <f>11303</f>
        <v>11303</v>
      </c>
    </row>
    <row r="29" spans="2:6" x14ac:dyDescent="0.25">
      <c r="B29" t="s">
        <v>541</v>
      </c>
      <c r="D29" s="436">
        <f>10668+1968</f>
        <v>12636</v>
      </c>
      <c r="F29" s="436"/>
    </row>
    <row r="30" spans="2:6" x14ac:dyDescent="0.25">
      <c r="B30" t="s">
        <v>108</v>
      </c>
      <c r="D30" s="436">
        <f>10393</f>
        <v>10393</v>
      </c>
      <c r="F30" s="436"/>
    </row>
    <row r="31" spans="2:6" x14ac:dyDescent="0.25">
      <c r="B31" t="s">
        <v>551</v>
      </c>
      <c r="D31" s="436">
        <f>6786</f>
        <v>6786</v>
      </c>
    </row>
    <row r="32" spans="2:6" x14ac:dyDescent="0.25">
      <c r="B32" t="s">
        <v>542</v>
      </c>
      <c r="D32" s="436">
        <f>-(565-3704-3705)/2</f>
        <v>3422</v>
      </c>
      <c r="F32" s="436"/>
    </row>
    <row r="33" spans="2:6" x14ac:dyDescent="0.25">
      <c r="B33" t="s">
        <v>544</v>
      </c>
      <c r="D33" s="436">
        <f>2082</f>
        <v>2082</v>
      </c>
      <c r="F33" s="436"/>
    </row>
    <row r="34" spans="2:6" x14ac:dyDescent="0.25">
      <c r="B34" t="s">
        <v>543</v>
      </c>
      <c r="D34" s="436">
        <f>1016</f>
        <v>1016</v>
      </c>
      <c r="F34" s="436"/>
    </row>
    <row r="35" spans="2:6" x14ac:dyDescent="0.25">
      <c r="D35" s="436"/>
      <c r="F35" s="436"/>
    </row>
    <row r="36" spans="2:6" x14ac:dyDescent="0.25">
      <c r="C36" s="436"/>
      <c r="D36" s="436"/>
    </row>
    <row r="37" spans="2:6" x14ac:dyDescent="0.25">
      <c r="B37" s="427" t="s">
        <v>556</v>
      </c>
      <c r="C37" s="672">
        <f>SUM(C15:C34)</f>
        <v>-47677.5</v>
      </c>
      <c r="D37" s="672">
        <f>SUM(D15:D34)</f>
        <v>47638</v>
      </c>
      <c r="F37" s="436"/>
    </row>
    <row r="38" spans="2:6" x14ac:dyDescent="0.25">
      <c r="D38" s="436">
        <f>C37+D37</f>
        <v>-39.5</v>
      </c>
    </row>
    <row r="39" spans="2:6" x14ac:dyDescent="0.25">
      <c r="C39" s="436"/>
      <c r="D39" s="436"/>
    </row>
    <row r="40" spans="2:6" x14ac:dyDescent="0.25">
      <c r="B40" s="427" t="s">
        <v>557</v>
      </c>
      <c r="C40" s="672">
        <f>C12-D38</f>
        <v>33106.5</v>
      </c>
      <c r="D40" s="672"/>
      <c r="F40" s="436"/>
    </row>
    <row r="41" spans="2:6" x14ac:dyDescent="0.25">
      <c r="C41" s="436"/>
      <c r="D41" s="436"/>
    </row>
    <row r="42" spans="2:6" x14ac:dyDescent="0.25">
      <c r="C42" s="436"/>
      <c r="D42" s="436"/>
    </row>
    <row r="43" spans="2:6" x14ac:dyDescent="0.25">
      <c r="C43" s="436"/>
      <c r="D43" s="436"/>
    </row>
    <row r="44" spans="2:6" x14ac:dyDescent="0.25">
      <c r="C44" s="436"/>
      <c r="D44" s="436"/>
    </row>
    <row r="45" spans="2:6" x14ac:dyDescent="0.25">
      <c r="C45" s="436"/>
      <c r="D45" s="436"/>
    </row>
  </sheetData>
  <sortState xmlns:xlrd2="http://schemas.microsoft.com/office/spreadsheetml/2017/richdata2" ref="B28:D34">
    <sortCondition descending="1" ref="D28:D34"/>
  </sortState>
  <pageMargins left="0.7" right="0.7" top="0.75" bottom="0.75" header="0.3" footer="0.3"/>
  <pageSetup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9CE24-6D0B-4CA2-97C1-755FDA6DB8B7}">
  <dimension ref="A1:N65"/>
  <sheetViews>
    <sheetView zoomScaleNormal="100" workbookViewId="0">
      <selection activeCell="H1" sqref="H1:H1048576"/>
    </sheetView>
  </sheetViews>
  <sheetFormatPr defaultColWidth="9.140625" defaultRowHeight="15" x14ac:dyDescent="0.2"/>
  <cols>
    <col min="1" max="1" width="12.7109375" style="373" customWidth="1"/>
    <col min="2" max="2" width="43.42578125" style="373" customWidth="1"/>
    <col min="3" max="3" width="14.7109375" style="373" hidden="1" customWidth="1"/>
    <col min="4" max="4" width="16.28515625" style="373" hidden="1" customWidth="1"/>
    <col min="5" max="5" width="19.42578125" style="373" hidden="1" customWidth="1"/>
    <col min="6" max="7" width="14.7109375" style="500" customWidth="1"/>
    <col min="8" max="8" width="27.85546875" style="374" customWidth="1"/>
    <col min="9" max="9" width="15.5703125" style="374" customWidth="1"/>
    <col min="10" max="256" width="9.140625" style="374"/>
    <col min="257" max="257" width="12.7109375" style="374" customWidth="1"/>
    <col min="258" max="258" width="43.42578125" style="374" customWidth="1"/>
    <col min="259" max="261" width="0" style="374" hidden="1" customWidth="1"/>
    <col min="262" max="263" width="14.7109375" style="374" customWidth="1"/>
    <col min="264" max="264" width="27.85546875" style="374" customWidth="1"/>
    <col min="265" max="265" width="15.5703125" style="374" customWidth="1"/>
    <col min="266" max="512" width="9.140625" style="374"/>
    <col min="513" max="513" width="12.7109375" style="374" customWidth="1"/>
    <col min="514" max="514" width="43.42578125" style="374" customWidth="1"/>
    <col min="515" max="517" width="0" style="374" hidden="1" customWidth="1"/>
    <col min="518" max="519" width="14.7109375" style="374" customWidth="1"/>
    <col min="520" max="520" width="27.85546875" style="374" customWidth="1"/>
    <col min="521" max="521" width="15.5703125" style="374" customWidth="1"/>
    <col min="522" max="768" width="9.140625" style="374"/>
    <col min="769" max="769" width="12.7109375" style="374" customWidth="1"/>
    <col min="770" max="770" width="43.42578125" style="374" customWidth="1"/>
    <col min="771" max="773" width="0" style="374" hidden="1" customWidth="1"/>
    <col min="774" max="775" width="14.7109375" style="374" customWidth="1"/>
    <col min="776" max="776" width="27.85546875" style="374" customWidth="1"/>
    <col min="777" max="777" width="15.5703125" style="374" customWidth="1"/>
    <col min="778" max="1024" width="9.140625" style="374"/>
    <col min="1025" max="1025" width="12.7109375" style="374" customWidth="1"/>
    <col min="1026" max="1026" width="43.42578125" style="374" customWidth="1"/>
    <col min="1027" max="1029" width="0" style="374" hidden="1" customWidth="1"/>
    <col min="1030" max="1031" width="14.7109375" style="374" customWidth="1"/>
    <col min="1032" max="1032" width="27.85546875" style="374" customWidth="1"/>
    <col min="1033" max="1033" width="15.5703125" style="374" customWidth="1"/>
    <col min="1034" max="1280" width="9.140625" style="374"/>
    <col min="1281" max="1281" width="12.7109375" style="374" customWidth="1"/>
    <col min="1282" max="1282" width="43.42578125" style="374" customWidth="1"/>
    <col min="1283" max="1285" width="0" style="374" hidden="1" customWidth="1"/>
    <col min="1286" max="1287" width="14.7109375" style="374" customWidth="1"/>
    <col min="1288" max="1288" width="27.85546875" style="374" customWidth="1"/>
    <col min="1289" max="1289" width="15.5703125" style="374" customWidth="1"/>
    <col min="1290" max="1536" width="9.140625" style="374"/>
    <col min="1537" max="1537" width="12.7109375" style="374" customWidth="1"/>
    <col min="1538" max="1538" width="43.42578125" style="374" customWidth="1"/>
    <col min="1539" max="1541" width="0" style="374" hidden="1" customWidth="1"/>
    <col min="1542" max="1543" width="14.7109375" style="374" customWidth="1"/>
    <col min="1544" max="1544" width="27.85546875" style="374" customWidth="1"/>
    <col min="1545" max="1545" width="15.5703125" style="374" customWidth="1"/>
    <col min="1546" max="1792" width="9.140625" style="374"/>
    <col min="1793" max="1793" width="12.7109375" style="374" customWidth="1"/>
    <col min="1794" max="1794" width="43.42578125" style="374" customWidth="1"/>
    <col min="1795" max="1797" width="0" style="374" hidden="1" customWidth="1"/>
    <col min="1798" max="1799" width="14.7109375" style="374" customWidth="1"/>
    <col min="1800" max="1800" width="27.85546875" style="374" customWidth="1"/>
    <col min="1801" max="1801" width="15.5703125" style="374" customWidth="1"/>
    <col min="1802" max="2048" width="9.140625" style="374"/>
    <col min="2049" max="2049" width="12.7109375" style="374" customWidth="1"/>
    <col min="2050" max="2050" width="43.42578125" style="374" customWidth="1"/>
    <col min="2051" max="2053" width="0" style="374" hidden="1" customWidth="1"/>
    <col min="2054" max="2055" width="14.7109375" style="374" customWidth="1"/>
    <col min="2056" max="2056" width="27.85546875" style="374" customWidth="1"/>
    <col min="2057" max="2057" width="15.5703125" style="374" customWidth="1"/>
    <col min="2058" max="2304" width="9.140625" style="374"/>
    <col min="2305" max="2305" width="12.7109375" style="374" customWidth="1"/>
    <col min="2306" max="2306" width="43.42578125" style="374" customWidth="1"/>
    <col min="2307" max="2309" width="0" style="374" hidden="1" customWidth="1"/>
    <col min="2310" max="2311" width="14.7109375" style="374" customWidth="1"/>
    <col min="2312" max="2312" width="27.85546875" style="374" customWidth="1"/>
    <col min="2313" max="2313" width="15.5703125" style="374" customWidth="1"/>
    <col min="2314" max="2560" width="9.140625" style="374"/>
    <col min="2561" max="2561" width="12.7109375" style="374" customWidth="1"/>
    <col min="2562" max="2562" width="43.42578125" style="374" customWidth="1"/>
    <col min="2563" max="2565" width="0" style="374" hidden="1" customWidth="1"/>
    <col min="2566" max="2567" width="14.7109375" style="374" customWidth="1"/>
    <col min="2568" max="2568" width="27.85546875" style="374" customWidth="1"/>
    <col min="2569" max="2569" width="15.5703125" style="374" customWidth="1"/>
    <col min="2570" max="2816" width="9.140625" style="374"/>
    <col min="2817" max="2817" width="12.7109375" style="374" customWidth="1"/>
    <col min="2818" max="2818" width="43.42578125" style="374" customWidth="1"/>
    <col min="2819" max="2821" width="0" style="374" hidden="1" customWidth="1"/>
    <col min="2822" max="2823" width="14.7109375" style="374" customWidth="1"/>
    <col min="2824" max="2824" width="27.85546875" style="374" customWidth="1"/>
    <col min="2825" max="2825" width="15.5703125" style="374" customWidth="1"/>
    <col min="2826" max="3072" width="9.140625" style="374"/>
    <col min="3073" max="3073" width="12.7109375" style="374" customWidth="1"/>
    <col min="3074" max="3074" width="43.42578125" style="374" customWidth="1"/>
    <col min="3075" max="3077" width="0" style="374" hidden="1" customWidth="1"/>
    <col min="3078" max="3079" width="14.7109375" style="374" customWidth="1"/>
    <col min="3080" max="3080" width="27.85546875" style="374" customWidth="1"/>
    <col min="3081" max="3081" width="15.5703125" style="374" customWidth="1"/>
    <col min="3082" max="3328" width="9.140625" style="374"/>
    <col min="3329" max="3329" width="12.7109375" style="374" customWidth="1"/>
    <col min="3330" max="3330" width="43.42578125" style="374" customWidth="1"/>
    <col min="3331" max="3333" width="0" style="374" hidden="1" customWidth="1"/>
    <col min="3334" max="3335" width="14.7109375" style="374" customWidth="1"/>
    <col min="3336" max="3336" width="27.85546875" style="374" customWidth="1"/>
    <col min="3337" max="3337" width="15.5703125" style="374" customWidth="1"/>
    <col min="3338" max="3584" width="9.140625" style="374"/>
    <col min="3585" max="3585" width="12.7109375" style="374" customWidth="1"/>
    <col min="3586" max="3586" width="43.42578125" style="374" customWidth="1"/>
    <col min="3587" max="3589" width="0" style="374" hidden="1" customWidth="1"/>
    <col min="3590" max="3591" width="14.7109375" style="374" customWidth="1"/>
    <col min="3592" max="3592" width="27.85546875" style="374" customWidth="1"/>
    <col min="3593" max="3593" width="15.5703125" style="374" customWidth="1"/>
    <col min="3594" max="3840" width="9.140625" style="374"/>
    <col min="3841" max="3841" width="12.7109375" style="374" customWidth="1"/>
    <col min="3842" max="3842" width="43.42578125" style="374" customWidth="1"/>
    <col min="3843" max="3845" width="0" style="374" hidden="1" customWidth="1"/>
    <col min="3846" max="3847" width="14.7109375" style="374" customWidth="1"/>
    <col min="3848" max="3848" width="27.85546875" style="374" customWidth="1"/>
    <col min="3849" max="3849" width="15.5703125" style="374" customWidth="1"/>
    <col min="3850" max="4096" width="9.140625" style="374"/>
    <col min="4097" max="4097" width="12.7109375" style="374" customWidth="1"/>
    <col min="4098" max="4098" width="43.42578125" style="374" customWidth="1"/>
    <col min="4099" max="4101" width="0" style="374" hidden="1" customWidth="1"/>
    <col min="4102" max="4103" width="14.7109375" style="374" customWidth="1"/>
    <col min="4104" max="4104" width="27.85546875" style="374" customWidth="1"/>
    <col min="4105" max="4105" width="15.5703125" style="374" customWidth="1"/>
    <col min="4106" max="4352" width="9.140625" style="374"/>
    <col min="4353" max="4353" width="12.7109375" style="374" customWidth="1"/>
    <col min="4354" max="4354" width="43.42578125" style="374" customWidth="1"/>
    <col min="4355" max="4357" width="0" style="374" hidden="1" customWidth="1"/>
    <col min="4358" max="4359" width="14.7109375" style="374" customWidth="1"/>
    <col min="4360" max="4360" width="27.85546875" style="374" customWidth="1"/>
    <col min="4361" max="4361" width="15.5703125" style="374" customWidth="1"/>
    <col min="4362" max="4608" width="9.140625" style="374"/>
    <col min="4609" max="4609" width="12.7109375" style="374" customWidth="1"/>
    <col min="4610" max="4610" width="43.42578125" style="374" customWidth="1"/>
    <col min="4611" max="4613" width="0" style="374" hidden="1" customWidth="1"/>
    <col min="4614" max="4615" width="14.7109375" style="374" customWidth="1"/>
    <col min="4616" max="4616" width="27.85546875" style="374" customWidth="1"/>
    <col min="4617" max="4617" width="15.5703125" style="374" customWidth="1"/>
    <col min="4618" max="4864" width="9.140625" style="374"/>
    <col min="4865" max="4865" width="12.7109375" style="374" customWidth="1"/>
    <col min="4866" max="4866" width="43.42578125" style="374" customWidth="1"/>
    <col min="4867" max="4869" width="0" style="374" hidden="1" customWidth="1"/>
    <col min="4870" max="4871" width="14.7109375" style="374" customWidth="1"/>
    <col min="4872" max="4872" width="27.85546875" style="374" customWidth="1"/>
    <col min="4873" max="4873" width="15.5703125" style="374" customWidth="1"/>
    <col min="4874" max="5120" width="9.140625" style="374"/>
    <col min="5121" max="5121" width="12.7109375" style="374" customWidth="1"/>
    <col min="5122" max="5122" width="43.42578125" style="374" customWidth="1"/>
    <col min="5123" max="5125" width="0" style="374" hidden="1" customWidth="1"/>
    <col min="5126" max="5127" width="14.7109375" style="374" customWidth="1"/>
    <col min="5128" max="5128" width="27.85546875" style="374" customWidth="1"/>
    <col min="5129" max="5129" width="15.5703125" style="374" customWidth="1"/>
    <col min="5130" max="5376" width="9.140625" style="374"/>
    <col min="5377" max="5377" width="12.7109375" style="374" customWidth="1"/>
    <col min="5378" max="5378" width="43.42578125" style="374" customWidth="1"/>
    <col min="5379" max="5381" width="0" style="374" hidden="1" customWidth="1"/>
    <col min="5382" max="5383" width="14.7109375" style="374" customWidth="1"/>
    <col min="5384" max="5384" width="27.85546875" style="374" customWidth="1"/>
    <col min="5385" max="5385" width="15.5703125" style="374" customWidth="1"/>
    <col min="5386" max="5632" width="9.140625" style="374"/>
    <col min="5633" max="5633" width="12.7109375" style="374" customWidth="1"/>
    <col min="5634" max="5634" width="43.42578125" style="374" customWidth="1"/>
    <col min="5635" max="5637" width="0" style="374" hidden="1" customWidth="1"/>
    <col min="5638" max="5639" width="14.7109375" style="374" customWidth="1"/>
    <col min="5640" max="5640" width="27.85546875" style="374" customWidth="1"/>
    <col min="5641" max="5641" width="15.5703125" style="374" customWidth="1"/>
    <col min="5642" max="5888" width="9.140625" style="374"/>
    <col min="5889" max="5889" width="12.7109375" style="374" customWidth="1"/>
    <col min="5890" max="5890" width="43.42578125" style="374" customWidth="1"/>
    <col min="5891" max="5893" width="0" style="374" hidden="1" customWidth="1"/>
    <col min="5894" max="5895" width="14.7109375" style="374" customWidth="1"/>
    <col min="5896" max="5896" width="27.85546875" style="374" customWidth="1"/>
    <col min="5897" max="5897" width="15.5703125" style="374" customWidth="1"/>
    <col min="5898" max="6144" width="9.140625" style="374"/>
    <col min="6145" max="6145" width="12.7109375" style="374" customWidth="1"/>
    <col min="6146" max="6146" width="43.42578125" style="374" customWidth="1"/>
    <col min="6147" max="6149" width="0" style="374" hidden="1" customWidth="1"/>
    <col min="6150" max="6151" width="14.7109375" style="374" customWidth="1"/>
    <col min="6152" max="6152" width="27.85546875" style="374" customWidth="1"/>
    <col min="6153" max="6153" width="15.5703125" style="374" customWidth="1"/>
    <col min="6154" max="6400" width="9.140625" style="374"/>
    <col min="6401" max="6401" width="12.7109375" style="374" customWidth="1"/>
    <col min="6402" max="6402" width="43.42578125" style="374" customWidth="1"/>
    <col min="6403" max="6405" width="0" style="374" hidden="1" customWidth="1"/>
    <col min="6406" max="6407" width="14.7109375" style="374" customWidth="1"/>
    <col min="6408" max="6408" width="27.85546875" style="374" customWidth="1"/>
    <col min="6409" max="6409" width="15.5703125" style="374" customWidth="1"/>
    <col min="6410" max="6656" width="9.140625" style="374"/>
    <col min="6657" max="6657" width="12.7109375" style="374" customWidth="1"/>
    <col min="6658" max="6658" width="43.42578125" style="374" customWidth="1"/>
    <col min="6659" max="6661" width="0" style="374" hidden="1" customWidth="1"/>
    <col min="6662" max="6663" width="14.7109375" style="374" customWidth="1"/>
    <col min="6664" max="6664" width="27.85546875" style="374" customWidth="1"/>
    <col min="6665" max="6665" width="15.5703125" style="374" customWidth="1"/>
    <col min="6666" max="6912" width="9.140625" style="374"/>
    <col min="6913" max="6913" width="12.7109375" style="374" customWidth="1"/>
    <col min="6914" max="6914" width="43.42578125" style="374" customWidth="1"/>
    <col min="6915" max="6917" width="0" style="374" hidden="1" customWidth="1"/>
    <col min="6918" max="6919" width="14.7109375" style="374" customWidth="1"/>
    <col min="6920" max="6920" width="27.85546875" style="374" customWidth="1"/>
    <col min="6921" max="6921" width="15.5703125" style="374" customWidth="1"/>
    <col min="6922" max="7168" width="9.140625" style="374"/>
    <col min="7169" max="7169" width="12.7109375" style="374" customWidth="1"/>
    <col min="7170" max="7170" width="43.42578125" style="374" customWidth="1"/>
    <col min="7171" max="7173" width="0" style="374" hidden="1" customWidth="1"/>
    <col min="7174" max="7175" width="14.7109375" style="374" customWidth="1"/>
    <col min="7176" max="7176" width="27.85546875" style="374" customWidth="1"/>
    <col min="7177" max="7177" width="15.5703125" style="374" customWidth="1"/>
    <col min="7178" max="7424" width="9.140625" style="374"/>
    <col min="7425" max="7425" width="12.7109375" style="374" customWidth="1"/>
    <col min="7426" max="7426" width="43.42578125" style="374" customWidth="1"/>
    <col min="7427" max="7429" width="0" style="374" hidden="1" customWidth="1"/>
    <col min="7430" max="7431" width="14.7109375" style="374" customWidth="1"/>
    <col min="7432" max="7432" width="27.85546875" style="374" customWidth="1"/>
    <col min="7433" max="7433" width="15.5703125" style="374" customWidth="1"/>
    <col min="7434" max="7680" width="9.140625" style="374"/>
    <col min="7681" max="7681" width="12.7109375" style="374" customWidth="1"/>
    <col min="7682" max="7682" width="43.42578125" style="374" customWidth="1"/>
    <col min="7683" max="7685" width="0" style="374" hidden="1" customWidth="1"/>
    <col min="7686" max="7687" width="14.7109375" style="374" customWidth="1"/>
    <col min="7688" max="7688" width="27.85546875" style="374" customWidth="1"/>
    <col min="7689" max="7689" width="15.5703125" style="374" customWidth="1"/>
    <col min="7690" max="7936" width="9.140625" style="374"/>
    <col min="7937" max="7937" width="12.7109375" style="374" customWidth="1"/>
    <col min="7938" max="7938" width="43.42578125" style="374" customWidth="1"/>
    <col min="7939" max="7941" width="0" style="374" hidden="1" customWidth="1"/>
    <col min="7942" max="7943" width="14.7109375" style="374" customWidth="1"/>
    <col min="7944" max="7944" width="27.85546875" style="374" customWidth="1"/>
    <col min="7945" max="7945" width="15.5703125" style="374" customWidth="1"/>
    <col min="7946" max="8192" width="9.140625" style="374"/>
    <col min="8193" max="8193" width="12.7109375" style="374" customWidth="1"/>
    <col min="8194" max="8194" width="43.42578125" style="374" customWidth="1"/>
    <col min="8195" max="8197" width="0" style="374" hidden="1" customWidth="1"/>
    <col min="8198" max="8199" width="14.7109375" style="374" customWidth="1"/>
    <col min="8200" max="8200" width="27.85546875" style="374" customWidth="1"/>
    <col min="8201" max="8201" width="15.5703125" style="374" customWidth="1"/>
    <col min="8202" max="8448" width="9.140625" style="374"/>
    <col min="8449" max="8449" width="12.7109375" style="374" customWidth="1"/>
    <col min="8450" max="8450" width="43.42578125" style="374" customWidth="1"/>
    <col min="8451" max="8453" width="0" style="374" hidden="1" customWidth="1"/>
    <col min="8454" max="8455" width="14.7109375" style="374" customWidth="1"/>
    <col min="8456" max="8456" width="27.85546875" style="374" customWidth="1"/>
    <col min="8457" max="8457" width="15.5703125" style="374" customWidth="1"/>
    <col min="8458" max="8704" width="9.140625" style="374"/>
    <col min="8705" max="8705" width="12.7109375" style="374" customWidth="1"/>
    <col min="8706" max="8706" width="43.42578125" style="374" customWidth="1"/>
    <col min="8707" max="8709" width="0" style="374" hidden="1" customWidth="1"/>
    <col min="8710" max="8711" width="14.7109375" style="374" customWidth="1"/>
    <col min="8712" max="8712" width="27.85546875" style="374" customWidth="1"/>
    <col min="8713" max="8713" width="15.5703125" style="374" customWidth="1"/>
    <col min="8714" max="8960" width="9.140625" style="374"/>
    <col min="8961" max="8961" width="12.7109375" style="374" customWidth="1"/>
    <col min="8962" max="8962" width="43.42578125" style="374" customWidth="1"/>
    <col min="8963" max="8965" width="0" style="374" hidden="1" customWidth="1"/>
    <col min="8966" max="8967" width="14.7109375" style="374" customWidth="1"/>
    <col min="8968" max="8968" width="27.85546875" style="374" customWidth="1"/>
    <col min="8969" max="8969" width="15.5703125" style="374" customWidth="1"/>
    <col min="8970" max="9216" width="9.140625" style="374"/>
    <col min="9217" max="9217" width="12.7109375" style="374" customWidth="1"/>
    <col min="9218" max="9218" width="43.42578125" style="374" customWidth="1"/>
    <col min="9219" max="9221" width="0" style="374" hidden="1" customWidth="1"/>
    <col min="9222" max="9223" width="14.7109375" style="374" customWidth="1"/>
    <col min="9224" max="9224" width="27.85546875" style="374" customWidth="1"/>
    <col min="9225" max="9225" width="15.5703125" style="374" customWidth="1"/>
    <col min="9226" max="9472" width="9.140625" style="374"/>
    <col min="9473" max="9473" width="12.7109375" style="374" customWidth="1"/>
    <col min="9474" max="9474" width="43.42578125" style="374" customWidth="1"/>
    <col min="9475" max="9477" width="0" style="374" hidden="1" customWidth="1"/>
    <col min="9478" max="9479" width="14.7109375" style="374" customWidth="1"/>
    <col min="9480" max="9480" width="27.85546875" style="374" customWidth="1"/>
    <col min="9481" max="9481" width="15.5703125" style="374" customWidth="1"/>
    <col min="9482" max="9728" width="9.140625" style="374"/>
    <col min="9729" max="9729" width="12.7109375" style="374" customWidth="1"/>
    <col min="9730" max="9730" width="43.42578125" style="374" customWidth="1"/>
    <col min="9731" max="9733" width="0" style="374" hidden="1" customWidth="1"/>
    <col min="9734" max="9735" width="14.7109375" style="374" customWidth="1"/>
    <col min="9736" max="9736" width="27.85546875" style="374" customWidth="1"/>
    <col min="9737" max="9737" width="15.5703125" style="374" customWidth="1"/>
    <col min="9738" max="9984" width="9.140625" style="374"/>
    <col min="9985" max="9985" width="12.7109375" style="374" customWidth="1"/>
    <col min="9986" max="9986" width="43.42578125" style="374" customWidth="1"/>
    <col min="9987" max="9989" width="0" style="374" hidden="1" customWidth="1"/>
    <col min="9990" max="9991" width="14.7109375" style="374" customWidth="1"/>
    <col min="9992" max="9992" width="27.85546875" style="374" customWidth="1"/>
    <col min="9993" max="9993" width="15.5703125" style="374" customWidth="1"/>
    <col min="9994" max="10240" width="9.140625" style="374"/>
    <col min="10241" max="10241" width="12.7109375" style="374" customWidth="1"/>
    <col min="10242" max="10242" width="43.42578125" style="374" customWidth="1"/>
    <col min="10243" max="10245" width="0" style="374" hidden="1" customWidth="1"/>
    <col min="10246" max="10247" width="14.7109375" style="374" customWidth="1"/>
    <col min="10248" max="10248" width="27.85546875" style="374" customWidth="1"/>
    <col min="10249" max="10249" width="15.5703125" style="374" customWidth="1"/>
    <col min="10250" max="10496" width="9.140625" style="374"/>
    <col min="10497" max="10497" width="12.7109375" style="374" customWidth="1"/>
    <col min="10498" max="10498" width="43.42578125" style="374" customWidth="1"/>
    <col min="10499" max="10501" width="0" style="374" hidden="1" customWidth="1"/>
    <col min="10502" max="10503" width="14.7109375" style="374" customWidth="1"/>
    <col min="10504" max="10504" width="27.85546875" style="374" customWidth="1"/>
    <col min="10505" max="10505" width="15.5703125" style="374" customWidth="1"/>
    <col min="10506" max="10752" width="9.140625" style="374"/>
    <col min="10753" max="10753" width="12.7109375" style="374" customWidth="1"/>
    <col min="10754" max="10754" width="43.42578125" style="374" customWidth="1"/>
    <col min="10755" max="10757" width="0" style="374" hidden="1" customWidth="1"/>
    <col min="10758" max="10759" width="14.7109375" style="374" customWidth="1"/>
    <col min="10760" max="10760" width="27.85546875" style="374" customWidth="1"/>
    <col min="10761" max="10761" width="15.5703125" style="374" customWidth="1"/>
    <col min="10762" max="11008" width="9.140625" style="374"/>
    <col min="11009" max="11009" width="12.7109375" style="374" customWidth="1"/>
    <col min="11010" max="11010" width="43.42578125" style="374" customWidth="1"/>
    <col min="11011" max="11013" width="0" style="374" hidden="1" customWidth="1"/>
    <col min="11014" max="11015" width="14.7109375" style="374" customWidth="1"/>
    <col min="11016" max="11016" width="27.85546875" style="374" customWidth="1"/>
    <col min="11017" max="11017" width="15.5703125" style="374" customWidth="1"/>
    <col min="11018" max="11264" width="9.140625" style="374"/>
    <col min="11265" max="11265" width="12.7109375" style="374" customWidth="1"/>
    <col min="11266" max="11266" width="43.42578125" style="374" customWidth="1"/>
    <col min="11267" max="11269" width="0" style="374" hidden="1" customWidth="1"/>
    <col min="11270" max="11271" width="14.7109375" style="374" customWidth="1"/>
    <col min="11272" max="11272" width="27.85546875" style="374" customWidth="1"/>
    <col min="11273" max="11273" width="15.5703125" style="374" customWidth="1"/>
    <col min="11274" max="11520" width="9.140625" style="374"/>
    <col min="11521" max="11521" width="12.7109375" style="374" customWidth="1"/>
    <col min="11522" max="11522" width="43.42578125" style="374" customWidth="1"/>
    <col min="11523" max="11525" width="0" style="374" hidden="1" customWidth="1"/>
    <col min="11526" max="11527" width="14.7109375" style="374" customWidth="1"/>
    <col min="11528" max="11528" width="27.85546875" style="374" customWidth="1"/>
    <col min="11529" max="11529" width="15.5703125" style="374" customWidth="1"/>
    <col min="11530" max="11776" width="9.140625" style="374"/>
    <col min="11777" max="11777" width="12.7109375" style="374" customWidth="1"/>
    <col min="11778" max="11778" width="43.42578125" style="374" customWidth="1"/>
    <col min="11779" max="11781" width="0" style="374" hidden="1" customWidth="1"/>
    <col min="11782" max="11783" width="14.7109375" style="374" customWidth="1"/>
    <col min="11784" max="11784" width="27.85546875" style="374" customWidth="1"/>
    <col min="11785" max="11785" width="15.5703125" style="374" customWidth="1"/>
    <col min="11786" max="12032" width="9.140625" style="374"/>
    <col min="12033" max="12033" width="12.7109375" style="374" customWidth="1"/>
    <col min="12034" max="12034" width="43.42578125" style="374" customWidth="1"/>
    <col min="12035" max="12037" width="0" style="374" hidden="1" customWidth="1"/>
    <col min="12038" max="12039" width="14.7109375" style="374" customWidth="1"/>
    <col min="12040" max="12040" width="27.85546875" style="374" customWidth="1"/>
    <col min="12041" max="12041" width="15.5703125" style="374" customWidth="1"/>
    <col min="12042" max="12288" width="9.140625" style="374"/>
    <col min="12289" max="12289" width="12.7109375" style="374" customWidth="1"/>
    <col min="12290" max="12290" width="43.42578125" style="374" customWidth="1"/>
    <col min="12291" max="12293" width="0" style="374" hidden="1" customWidth="1"/>
    <col min="12294" max="12295" width="14.7109375" style="374" customWidth="1"/>
    <col min="12296" max="12296" width="27.85546875" style="374" customWidth="1"/>
    <col min="12297" max="12297" width="15.5703125" style="374" customWidth="1"/>
    <col min="12298" max="12544" width="9.140625" style="374"/>
    <col min="12545" max="12545" width="12.7109375" style="374" customWidth="1"/>
    <col min="12546" max="12546" width="43.42578125" style="374" customWidth="1"/>
    <col min="12547" max="12549" width="0" style="374" hidden="1" customWidth="1"/>
    <col min="12550" max="12551" width="14.7109375" style="374" customWidth="1"/>
    <col min="12552" max="12552" width="27.85546875" style="374" customWidth="1"/>
    <col min="12553" max="12553" width="15.5703125" style="374" customWidth="1"/>
    <col min="12554" max="12800" width="9.140625" style="374"/>
    <col min="12801" max="12801" width="12.7109375" style="374" customWidth="1"/>
    <col min="12802" max="12802" width="43.42578125" style="374" customWidth="1"/>
    <col min="12803" max="12805" width="0" style="374" hidden="1" customWidth="1"/>
    <col min="12806" max="12807" width="14.7109375" style="374" customWidth="1"/>
    <col min="12808" max="12808" width="27.85546875" style="374" customWidth="1"/>
    <col min="12809" max="12809" width="15.5703125" style="374" customWidth="1"/>
    <col min="12810" max="13056" width="9.140625" style="374"/>
    <col min="13057" max="13057" width="12.7109375" style="374" customWidth="1"/>
    <col min="13058" max="13058" width="43.42578125" style="374" customWidth="1"/>
    <col min="13059" max="13061" width="0" style="374" hidden="1" customWidth="1"/>
    <col min="13062" max="13063" width="14.7109375" style="374" customWidth="1"/>
    <col min="13064" max="13064" width="27.85546875" style="374" customWidth="1"/>
    <col min="13065" max="13065" width="15.5703125" style="374" customWidth="1"/>
    <col min="13066" max="13312" width="9.140625" style="374"/>
    <col min="13313" max="13313" width="12.7109375" style="374" customWidth="1"/>
    <col min="13314" max="13314" width="43.42578125" style="374" customWidth="1"/>
    <col min="13315" max="13317" width="0" style="374" hidden="1" customWidth="1"/>
    <col min="13318" max="13319" width="14.7109375" style="374" customWidth="1"/>
    <col min="13320" max="13320" width="27.85546875" style="374" customWidth="1"/>
    <col min="13321" max="13321" width="15.5703125" style="374" customWidth="1"/>
    <col min="13322" max="13568" width="9.140625" style="374"/>
    <col min="13569" max="13569" width="12.7109375" style="374" customWidth="1"/>
    <col min="13570" max="13570" width="43.42578125" style="374" customWidth="1"/>
    <col min="13571" max="13573" width="0" style="374" hidden="1" customWidth="1"/>
    <col min="13574" max="13575" width="14.7109375" style="374" customWidth="1"/>
    <col min="13576" max="13576" width="27.85546875" style="374" customWidth="1"/>
    <col min="13577" max="13577" width="15.5703125" style="374" customWidth="1"/>
    <col min="13578" max="13824" width="9.140625" style="374"/>
    <col min="13825" max="13825" width="12.7109375" style="374" customWidth="1"/>
    <col min="13826" max="13826" width="43.42578125" style="374" customWidth="1"/>
    <col min="13827" max="13829" width="0" style="374" hidden="1" customWidth="1"/>
    <col min="13830" max="13831" width="14.7109375" style="374" customWidth="1"/>
    <col min="13832" max="13832" width="27.85546875" style="374" customWidth="1"/>
    <col min="13833" max="13833" width="15.5703125" style="374" customWidth="1"/>
    <col min="13834" max="14080" width="9.140625" style="374"/>
    <col min="14081" max="14081" width="12.7109375" style="374" customWidth="1"/>
    <col min="14082" max="14082" width="43.42578125" style="374" customWidth="1"/>
    <col min="14083" max="14085" width="0" style="374" hidden="1" customWidth="1"/>
    <col min="14086" max="14087" width="14.7109375" style="374" customWidth="1"/>
    <col min="14088" max="14088" width="27.85546875" style="374" customWidth="1"/>
    <col min="14089" max="14089" width="15.5703125" style="374" customWidth="1"/>
    <col min="14090" max="14336" width="9.140625" style="374"/>
    <col min="14337" max="14337" width="12.7109375" style="374" customWidth="1"/>
    <col min="14338" max="14338" width="43.42578125" style="374" customWidth="1"/>
    <col min="14339" max="14341" width="0" style="374" hidden="1" customWidth="1"/>
    <col min="14342" max="14343" width="14.7109375" style="374" customWidth="1"/>
    <col min="14344" max="14344" width="27.85546875" style="374" customWidth="1"/>
    <col min="14345" max="14345" width="15.5703125" style="374" customWidth="1"/>
    <col min="14346" max="14592" width="9.140625" style="374"/>
    <col min="14593" max="14593" width="12.7109375" style="374" customWidth="1"/>
    <col min="14594" max="14594" width="43.42578125" style="374" customWidth="1"/>
    <col min="14595" max="14597" width="0" style="374" hidden="1" customWidth="1"/>
    <col min="14598" max="14599" width="14.7109375" style="374" customWidth="1"/>
    <col min="14600" max="14600" width="27.85546875" style="374" customWidth="1"/>
    <col min="14601" max="14601" width="15.5703125" style="374" customWidth="1"/>
    <col min="14602" max="14848" width="9.140625" style="374"/>
    <col min="14849" max="14849" width="12.7109375" style="374" customWidth="1"/>
    <col min="14850" max="14850" width="43.42578125" style="374" customWidth="1"/>
    <col min="14851" max="14853" width="0" style="374" hidden="1" customWidth="1"/>
    <col min="14854" max="14855" width="14.7109375" style="374" customWidth="1"/>
    <col min="14856" max="14856" width="27.85546875" style="374" customWidth="1"/>
    <col min="14857" max="14857" width="15.5703125" style="374" customWidth="1"/>
    <col min="14858" max="15104" width="9.140625" style="374"/>
    <col min="15105" max="15105" width="12.7109375" style="374" customWidth="1"/>
    <col min="15106" max="15106" width="43.42578125" style="374" customWidth="1"/>
    <col min="15107" max="15109" width="0" style="374" hidden="1" customWidth="1"/>
    <col min="15110" max="15111" width="14.7109375" style="374" customWidth="1"/>
    <col min="15112" max="15112" width="27.85546875" style="374" customWidth="1"/>
    <col min="15113" max="15113" width="15.5703125" style="374" customWidth="1"/>
    <col min="15114" max="15360" width="9.140625" style="374"/>
    <col min="15361" max="15361" width="12.7109375" style="374" customWidth="1"/>
    <col min="15362" max="15362" width="43.42578125" style="374" customWidth="1"/>
    <col min="15363" max="15365" width="0" style="374" hidden="1" customWidth="1"/>
    <col min="15366" max="15367" width="14.7109375" style="374" customWidth="1"/>
    <col min="15368" max="15368" width="27.85546875" style="374" customWidth="1"/>
    <col min="15369" max="15369" width="15.5703125" style="374" customWidth="1"/>
    <col min="15370" max="15616" width="9.140625" style="374"/>
    <col min="15617" max="15617" width="12.7109375" style="374" customWidth="1"/>
    <col min="15618" max="15618" width="43.42578125" style="374" customWidth="1"/>
    <col min="15619" max="15621" width="0" style="374" hidden="1" customWidth="1"/>
    <col min="15622" max="15623" width="14.7109375" style="374" customWidth="1"/>
    <col min="15624" max="15624" width="27.85546875" style="374" customWidth="1"/>
    <col min="15625" max="15625" width="15.5703125" style="374" customWidth="1"/>
    <col min="15626" max="15872" width="9.140625" style="374"/>
    <col min="15873" max="15873" width="12.7109375" style="374" customWidth="1"/>
    <col min="15874" max="15874" width="43.42578125" style="374" customWidth="1"/>
    <col min="15875" max="15877" width="0" style="374" hidden="1" customWidth="1"/>
    <col min="15878" max="15879" width="14.7109375" style="374" customWidth="1"/>
    <col min="15880" max="15880" width="27.85546875" style="374" customWidth="1"/>
    <col min="15881" max="15881" width="15.5703125" style="374" customWidth="1"/>
    <col min="15882" max="16128" width="9.140625" style="374"/>
    <col min="16129" max="16129" width="12.7109375" style="374" customWidth="1"/>
    <col min="16130" max="16130" width="43.42578125" style="374" customWidth="1"/>
    <col min="16131" max="16133" width="0" style="374" hidden="1" customWidth="1"/>
    <col min="16134" max="16135" width="14.7109375" style="374" customWidth="1"/>
    <col min="16136" max="16136" width="27.85546875" style="374" customWidth="1"/>
    <col min="16137" max="16137" width="15.5703125" style="374" customWidth="1"/>
    <col min="16138" max="16384" width="9.140625" style="374"/>
  </cols>
  <sheetData>
    <row r="1" spans="1:14" ht="15.75" x14ac:dyDescent="0.25">
      <c r="A1" s="499" t="s">
        <v>113</v>
      </c>
    </row>
    <row r="2" spans="1:14" ht="15.75" x14ac:dyDescent="0.2">
      <c r="A2" s="375" t="s">
        <v>516</v>
      </c>
    </row>
    <row r="3" spans="1:14" x14ac:dyDescent="0.2">
      <c r="C3" s="376" t="s">
        <v>156</v>
      </c>
      <c r="D3" s="376" t="s">
        <v>157</v>
      </c>
      <c r="E3" s="376" t="s">
        <v>156</v>
      </c>
      <c r="F3" s="501" t="s">
        <v>158</v>
      </c>
      <c r="G3" s="501" t="s">
        <v>158</v>
      </c>
      <c r="I3" s="501" t="s">
        <v>158</v>
      </c>
    </row>
    <row r="4" spans="1:14" x14ac:dyDescent="0.2">
      <c r="C4" s="376" t="s">
        <v>159</v>
      </c>
      <c r="D4" s="376" t="s">
        <v>160</v>
      </c>
      <c r="E4" s="376" t="s">
        <v>160</v>
      </c>
      <c r="F4" s="501" t="s">
        <v>161</v>
      </c>
      <c r="G4" s="501" t="s">
        <v>161</v>
      </c>
      <c r="I4" s="501" t="s">
        <v>277</v>
      </c>
    </row>
    <row r="5" spans="1:14" ht="12.75" x14ac:dyDescent="0.2">
      <c r="C5" s="377">
        <v>36799</v>
      </c>
      <c r="D5" s="377" t="s">
        <v>162</v>
      </c>
      <c r="E5" s="378" t="s">
        <v>163</v>
      </c>
      <c r="F5" s="377">
        <v>45382</v>
      </c>
      <c r="G5" s="377">
        <v>45351</v>
      </c>
      <c r="I5" s="377"/>
    </row>
    <row r="6" spans="1:14" x14ac:dyDescent="0.2">
      <c r="A6" s="373" t="s">
        <v>164</v>
      </c>
      <c r="B6" s="373" t="s">
        <v>165</v>
      </c>
    </row>
    <row r="7" spans="1:14" x14ac:dyDescent="0.2">
      <c r="A7" s="373" t="s">
        <v>166</v>
      </c>
      <c r="B7" s="373" t="s">
        <v>167</v>
      </c>
      <c r="C7" s="373" t="s">
        <v>168</v>
      </c>
      <c r="D7" s="379" t="s">
        <v>169</v>
      </c>
      <c r="E7" s="379" t="s">
        <v>170</v>
      </c>
      <c r="F7" s="502" t="s">
        <v>171</v>
      </c>
      <c r="G7" s="502" t="s">
        <v>171</v>
      </c>
    </row>
    <row r="8" spans="1:14" x14ac:dyDescent="0.2">
      <c r="A8" s="379"/>
      <c r="C8" s="380"/>
      <c r="D8" s="380"/>
      <c r="E8" s="380"/>
    </row>
    <row r="9" spans="1:14" ht="12.75" x14ac:dyDescent="0.2">
      <c r="A9" s="381"/>
      <c r="B9" s="382" t="s">
        <v>172</v>
      </c>
      <c r="C9" s="383"/>
      <c r="D9" s="383"/>
      <c r="E9" s="383"/>
      <c r="F9" s="503">
        <f>SUM(F10:F12)</f>
        <v>686516.89999999991</v>
      </c>
      <c r="G9" s="503">
        <v>686516.89999999991</v>
      </c>
      <c r="I9" s="503">
        <f>+F9-G9</f>
        <v>0</v>
      </c>
    </row>
    <row r="10" spans="1:14" x14ac:dyDescent="0.2">
      <c r="A10" s="373" t="s">
        <v>173</v>
      </c>
      <c r="B10" s="373" t="s">
        <v>174</v>
      </c>
      <c r="C10" s="380"/>
      <c r="D10" s="380"/>
      <c r="E10" s="380"/>
      <c r="F10" s="500">
        <f>5118.71</f>
        <v>5118.71</v>
      </c>
      <c r="G10" s="500">
        <v>5118.71</v>
      </c>
      <c r="I10" s="500">
        <f t="shared" ref="I10:I57" si="0">+F10-G10</f>
        <v>0</v>
      </c>
    </row>
    <row r="11" spans="1:14" x14ac:dyDescent="0.2">
      <c r="A11" s="373" t="s">
        <v>175</v>
      </c>
      <c r="B11" s="373" t="s">
        <v>176</v>
      </c>
      <c r="C11" s="380"/>
      <c r="D11" s="380"/>
      <c r="E11" s="380"/>
      <c r="G11" s="500">
        <v>0</v>
      </c>
      <c r="I11" s="500">
        <f t="shared" si="0"/>
        <v>0</v>
      </c>
    </row>
    <row r="12" spans="1:14" x14ac:dyDescent="0.2">
      <c r="A12" s="373" t="s">
        <v>177</v>
      </c>
      <c r="B12" s="373" t="s">
        <v>178</v>
      </c>
      <c r="C12" s="380"/>
      <c r="D12" s="380"/>
      <c r="E12" s="380"/>
      <c r="F12" s="500">
        <f>681398.19</f>
        <v>681398.19</v>
      </c>
      <c r="G12" s="500">
        <v>681398.19</v>
      </c>
      <c r="H12" s="385"/>
      <c r="I12" s="500">
        <f t="shared" si="0"/>
        <v>0</v>
      </c>
    </row>
    <row r="13" spans="1:14" x14ac:dyDescent="0.2">
      <c r="A13" s="379"/>
      <c r="C13" s="380"/>
      <c r="D13" s="380"/>
      <c r="E13" s="380"/>
      <c r="I13" s="500">
        <f t="shared" si="0"/>
        <v>0</v>
      </c>
    </row>
    <row r="14" spans="1:14" ht="12.75" x14ac:dyDescent="0.2">
      <c r="A14" s="381"/>
      <c r="B14" s="382" t="s">
        <v>179</v>
      </c>
      <c r="C14" s="383"/>
      <c r="D14" s="383"/>
      <c r="E14" s="383"/>
      <c r="F14" s="503">
        <f>SUM(F15:F19)</f>
        <v>139241.42000000001</v>
      </c>
      <c r="G14" s="503">
        <v>87406.38</v>
      </c>
      <c r="I14" s="503">
        <f t="shared" si="0"/>
        <v>51835.040000000008</v>
      </c>
    </row>
    <row r="15" spans="1:14" x14ac:dyDescent="0.25">
      <c r="A15" s="373" t="s">
        <v>180</v>
      </c>
      <c r="B15" s="373" t="s">
        <v>181</v>
      </c>
      <c r="C15" s="380"/>
      <c r="D15" s="380"/>
      <c r="E15" s="380"/>
      <c r="F15" s="504">
        <v>4285.75</v>
      </c>
      <c r="G15" s="504">
        <v>2966.7</v>
      </c>
      <c r="I15" s="504">
        <f t="shared" si="0"/>
        <v>1319.0500000000002</v>
      </c>
      <c r="N15" s="505"/>
    </row>
    <row r="16" spans="1:14" hidden="1" x14ac:dyDescent="0.25">
      <c r="A16" s="373" t="s">
        <v>427</v>
      </c>
      <c r="B16" s="373" t="s">
        <v>278</v>
      </c>
      <c r="C16" s="380"/>
      <c r="D16" s="380"/>
      <c r="E16" s="380"/>
      <c r="F16" s="504"/>
      <c r="G16" s="504"/>
      <c r="H16" s="374" t="s">
        <v>428</v>
      </c>
      <c r="I16" s="504">
        <f t="shared" si="0"/>
        <v>0</v>
      </c>
    </row>
    <row r="17" spans="1:13" x14ac:dyDescent="0.25">
      <c r="A17" s="373" t="s">
        <v>182</v>
      </c>
      <c r="B17" s="373" t="s">
        <v>225</v>
      </c>
      <c r="C17" s="380"/>
      <c r="D17" s="380"/>
      <c r="E17" s="380"/>
      <c r="F17" s="506"/>
      <c r="G17" s="506">
        <v>0</v>
      </c>
      <c r="H17" s="507"/>
      <c r="I17" s="504">
        <f t="shared" si="0"/>
        <v>0</v>
      </c>
    </row>
    <row r="18" spans="1:13" x14ac:dyDescent="0.25">
      <c r="A18" s="373" t="s">
        <v>430</v>
      </c>
      <c r="B18" s="373" t="s">
        <v>431</v>
      </c>
      <c r="C18" s="380"/>
      <c r="D18" s="380"/>
      <c r="E18" s="380"/>
      <c r="F18" s="506">
        <v>0</v>
      </c>
      <c r="G18" s="506">
        <v>210723.83</v>
      </c>
      <c r="H18" s="507"/>
      <c r="I18" s="504"/>
    </row>
    <row r="19" spans="1:13" ht="12.75" customHeight="1" x14ac:dyDescent="0.25">
      <c r="A19" s="373" t="s">
        <v>183</v>
      </c>
      <c r="B19" s="373" t="s">
        <v>184</v>
      </c>
      <c r="C19" s="380"/>
      <c r="D19" s="380"/>
      <c r="E19" s="380"/>
      <c r="F19" s="602">
        <v>134955.67000000001</v>
      </c>
      <c r="G19" s="504">
        <v>-126284.15</v>
      </c>
      <c r="I19" s="504">
        <f t="shared" si="0"/>
        <v>261239.82</v>
      </c>
    </row>
    <row r="20" spans="1:13" ht="12.75" x14ac:dyDescent="0.2">
      <c r="A20" s="379"/>
      <c r="C20" s="380"/>
      <c r="D20" s="380"/>
      <c r="E20" s="380"/>
      <c r="F20" s="509" t="s">
        <v>185</v>
      </c>
      <c r="G20" s="509" t="s">
        <v>185</v>
      </c>
      <c r="I20" s="509"/>
    </row>
    <row r="21" spans="1:13" ht="12.75" x14ac:dyDescent="0.2">
      <c r="A21" s="381"/>
      <c r="B21" s="382" t="s">
        <v>186</v>
      </c>
      <c r="C21" s="383"/>
      <c r="D21" s="383"/>
      <c r="E21" s="383"/>
      <c r="F21" s="503">
        <f>SUM(F22:F23)</f>
        <v>395731.61</v>
      </c>
      <c r="G21" s="503">
        <v>421736.41</v>
      </c>
      <c r="I21" s="503">
        <f t="shared" si="0"/>
        <v>-26004.799999999988</v>
      </c>
    </row>
    <row r="22" spans="1:13" ht="12.75" customHeight="1" x14ac:dyDescent="0.2">
      <c r="A22" s="373" t="s">
        <v>187</v>
      </c>
      <c r="B22" s="373" t="s">
        <v>188</v>
      </c>
      <c r="C22" s="380"/>
      <c r="D22" s="380"/>
      <c r="E22" s="380"/>
      <c r="F22" s="510">
        <f>347833.23</f>
        <v>347833.23</v>
      </c>
      <c r="G22" s="510">
        <v>369194.79</v>
      </c>
      <c r="I22" s="500">
        <f t="shared" si="0"/>
        <v>-21361.559999999998</v>
      </c>
    </row>
    <row r="23" spans="1:13" ht="12.75" customHeight="1" x14ac:dyDescent="0.2">
      <c r="A23" s="373" t="s">
        <v>189</v>
      </c>
      <c r="B23" s="373" t="s">
        <v>190</v>
      </c>
      <c r="C23" s="380"/>
      <c r="D23" s="380"/>
      <c r="E23" s="380"/>
      <c r="F23" s="510">
        <f>47898.38</f>
        <v>47898.38</v>
      </c>
      <c r="G23" s="510">
        <v>52541.62</v>
      </c>
      <c r="I23" s="500">
        <f t="shared" si="0"/>
        <v>-4643.2400000000052</v>
      </c>
      <c r="M23" s="384"/>
    </row>
    <row r="24" spans="1:13" ht="12.75" customHeight="1" x14ac:dyDescent="0.2">
      <c r="A24" s="379"/>
      <c r="C24" s="380"/>
      <c r="D24" s="380"/>
      <c r="E24" s="380"/>
      <c r="I24" s="500"/>
    </row>
    <row r="25" spans="1:13" ht="12.75" x14ac:dyDescent="0.2">
      <c r="A25" s="381"/>
      <c r="B25" s="382" t="s">
        <v>191</v>
      </c>
      <c r="C25" s="383"/>
      <c r="D25" s="383"/>
      <c r="E25" s="383"/>
      <c r="F25" s="503">
        <f>SUM(F26:F27)</f>
        <v>70824.649999999994</v>
      </c>
      <c r="G25" s="503">
        <v>41130.14</v>
      </c>
      <c r="I25" s="503">
        <f t="shared" si="0"/>
        <v>29694.509999999995</v>
      </c>
    </row>
    <row r="26" spans="1:13" x14ac:dyDescent="0.25">
      <c r="A26" s="373" t="s">
        <v>192</v>
      </c>
      <c r="B26" s="373" t="s">
        <v>193</v>
      </c>
      <c r="C26" s="380"/>
      <c r="D26" s="380"/>
      <c r="E26" s="380"/>
      <c r="F26" s="506">
        <v>9426.19</v>
      </c>
      <c r="G26" s="506">
        <v>9897.7099999999991</v>
      </c>
      <c r="I26" s="504">
        <f t="shared" si="0"/>
        <v>-471.51999999999862</v>
      </c>
    </row>
    <row r="27" spans="1:13" ht="12.75" x14ac:dyDescent="0.2">
      <c r="A27" s="373" t="s">
        <v>194</v>
      </c>
      <c r="B27" s="373" t="s">
        <v>195</v>
      </c>
      <c r="C27" s="380"/>
      <c r="D27" s="380"/>
      <c r="E27" s="380"/>
      <c r="F27" s="511">
        <v>61398.46</v>
      </c>
      <c r="G27" s="511">
        <v>31232.43</v>
      </c>
      <c r="I27" s="512">
        <f t="shared" si="0"/>
        <v>30166.03</v>
      </c>
    </row>
    <row r="28" spans="1:13" x14ac:dyDescent="0.2">
      <c r="A28" s="379"/>
      <c r="C28" s="380"/>
      <c r="D28" s="380"/>
      <c r="E28" s="380"/>
      <c r="I28" s="500"/>
    </row>
    <row r="29" spans="1:13" ht="12.75" x14ac:dyDescent="0.2">
      <c r="A29" s="381"/>
      <c r="B29" s="382" t="s">
        <v>196</v>
      </c>
      <c r="C29" s="383"/>
      <c r="D29" s="383"/>
      <c r="E29" s="383"/>
      <c r="F29" s="503">
        <f>+F30</f>
        <v>30420</v>
      </c>
      <c r="G29" s="503">
        <v>30420</v>
      </c>
      <c r="I29" s="503">
        <f t="shared" si="0"/>
        <v>0</v>
      </c>
    </row>
    <row r="30" spans="1:13" ht="12.75" x14ac:dyDescent="0.2">
      <c r="A30" s="373" t="s">
        <v>197</v>
      </c>
      <c r="B30" s="373" t="s">
        <v>198</v>
      </c>
      <c r="C30" s="380"/>
      <c r="D30" s="380"/>
      <c r="E30" s="380"/>
      <c r="F30" s="513">
        <v>30420</v>
      </c>
      <c r="G30" s="513">
        <v>30420</v>
      </c>
      <c r="I30" s="513">
        <f t="shared" si="0"/>
        <v>0</v>
      </c>
    </row>
    <row r="31" spans="1:13" hidden="1" x14ac:dyDescent="0.2">
      <c r="A31" s="379"/>
      <c r="C31" s="380"/>
      <c r="D31" s="380"/>
      <c r="E31" s="380"/>
      <c r="I31" s="500">
        <f t="shared" si="0"/>
        <v>0</v>
      </c>
    </row>
    <row r="32" spans="1:13" ht="12.75" hidden="1" x14ac:dyDescent="0.2">
      <c r="A32" s="381"/>
      <c r="B32" s="382" t="s">
        <v>199</v>
      </c>
      <c r="C32" s="383"/>
      <c r="D32" s="383"/>
      <c r="E32" s="383"/>
      <c r="F32" s="503">
        <f>SUM(F33:F33)</f>
        <v>0</v>
      </c>
      <c r="G32" s="503">
        <v>0</v>
      </c>
      <c r="I32" s="503">
        <f t="shared" si="0"/>
        <v>0</v>
      </c>
    </row>
    <row r="33" spans="1:9" hidden="1" x14ac:dyDescent="0.2">
      <c r="A33" s="373" t="s">
        <v>200</v>
      </c>
      <c r="B33" s="373" t="s">
        <v>201</v>
      </c>
      <c r="C33" s="380"/>
      <c r="D33" s="380"/>
      <c r="E33" s="380"/>
      <c r="F33" s="500">
        <v>0</v>
      </c>
      <c r="G33" s="500">
        <v>0</v>
      </c>
      <c r="I33" s="500">
        <f t="shared" si="0"/>
        <v>0</v>
      </c>
    </row>
    <row r="34" spans="1:9" hidden="1" x14ac:dyDescent="0.2">
      <c r="C34" s="380"/>
      <c r="D34" s="380"/>
      <c r="E34" s="380"/>
      <c r="I34" s="500">
        <f t="shared" si="0"/>
        <v>0</v>
      </c>
    </row>
    <row r="35" spans="1:9" x14ac:dyDescent="0.2">
      <c r="A35" s="379"/>
      <c r="C35" s="380"/>
      <c r="D35" s="380"/>
      <c r="E35" s="380"/>
      <c r="I35" s="500">
        <f t="shared" si="0"/>
        <v>0</v>
      </c>
    </row>
    <row r="36" spans="1:9" ht="12.75" x14ac:dyDescent="0.2">
      <c r="A36" s="386"/>
      <c r="B36" s="387" t="s">
        <v>202</v>
      </c>
      <c r="C36" s="388"/>
      <c r="D36" s="388"/>
      <c r="E36" s="388"/>
      <c r="F36" s="514">
        <f>F9+F14+F21+F25+F29</f>
        <v>1322734.5799999998</v>
      </c>
      <c r="G36" s="514">
        <v>1267209.8299999998</v>
      </c>
      <c r="I36" s="514">
        <f t="shared" si="0"/>
        <v>55524.75</v>
      </c>
    </row>
    <row r="37" spans="1:9" x14ac:dyDescent="0.2">
      <c r="A37" s="379"/>
      <c r="C37" s="380"/>
      <c r="D37" s="380"/>
      <c r="E37" s="380"/>
      <c r="I37" s="500"/>
    </row>
    <row r="38" spans="1:9" ht="12.75" hidden="1" x14ac:dyDescent="0.2">
      <c r="A38" s="381"/>
      <c r="B38" s="382" t="s">
        <v>203</v>
      </c>
      <c r="C38" s="383"/>
      <c r="D38" s="383"/>
      <c r="E38" s="383"/>
      <c r="F38" s="503">
        <f>SUM(F39)</f>
        <v>0</v>
      </c>
      <c r="G38" s="503">
        <v>0</v>
      </c>
      <c r="I38" s="503">
        <f t="shared" si="0"/>
        <v>0</v>
      </c>
    </row>
    <row r="39" spans="1:9" hidden="1" x14ac:dyDescent="0.2">
      <c r="A39" s="373" t="s">
        <v>183</v>
      </c>
      <c r="B39" s="373" t="s">
        <v>184</v>
      </c>
      <c r="C39" s="380"/>
      <c r="D39" s="380"/>
      <c r="E39" s="380"/>
      <c r="I39" s="500">
        <f t="shared" si="0"/>
        <v>0</v>
      </c>
    </row>
    <row r="40" spans="1:9" hidden="1" x14ac:dyDescent="0.2">
      <c r="C40" s="380"/>
      <c r="D40" s="380"/>
      <c r="E40" s="380"/>
      <c r="I40" s="500">
        <f t="shared" si="0"/>
        <v>0</v>
      </c>
    </row>
    <row r="41" spans="1:9" ht="12.75" x14ac:dyDescent="0.2">
      <c r="A41" s="381"/>
      <c r="B41" s="382" t="s">
        <v>204</v>
      </c>
      <c r="C41" s="383"/>
      <c r="D41" s="383"/>
      <c r="E41" s="383"/>
      <c r="F41" s="503">
        <f>SUM(F42:F43)</f>
        <v>16784.09</v>
      </c>
      <c r="G41" s="503">
        <v>13416.71</v>
      </c>
      <c r="I41" s="503">
        <f t="shared" si="0"/>
        <v>3367.380000000001</v>
      </c>
    </row>
    <row r="42" spans="1:9" ht="12.75" x14ac:dyDescent="0.2">
      <c r="A42" s="373" t="s">
        <v>205</v>
      </c>
      <c r="B42" s="373" t="s">
        <v>206</v>
      </c>
      <c r="C42" s="380"/>
      <c r="D42" s="380"/>
      <c r="E42" s="380"/>
      <c r="F42" s="515">
        <v>5546.5</v>
      </c>
      <c r="G42" s="513">
        <v>3208.29</v>
      </c>
      <c r="I42" s="513">
        <f t="shared" si="0"/>
        <v>2338.21</v>
      </c>
    </row>
    <row r="43" spans="1:9" x14ac:dyDescent="0.2">
      <c r="A43" s="373" t="s">
        <v>200</v>
      </c>
      <c r="B43" s="373" t="s">
        <v>207</v>
      </c>
      <c r="C43" s="380"/>
      <c r="D43" s="380"/>
      <c r="E43" s="380"/>
      <c r="F43" s="510">
        <v>11237.59</v>
      </c>
      <c r="G43" s="500">
        <v>10208.42</v>
      </c>
      <c r="I43" s="500">
        <f t="shared" si="0"/>
        <v>1029.17</v>
      </c>
    </row>
    <row r="44" spans="1:9" x14ac:dyDescent="0.2">
      <c r="A44" s="379"/>
      <c r="C44" s="380"/>
      <c r="D44" s="380"/>
      <c r="E44" s="380"/>
      <c r="I44" s="500"/>
    </row>
    <row r="45" spans="1:9" ht="12.75" hidden="1" x14ac:dyDescent="0.2">
      <c r="A45" s="381"/>
      <c r="B45" s="382" t="s">
        <v>208</v>
      </c>
      <c r="C45" s="383"/>
      <c r="D45" s="383"/>
      <c r="E45" s="383"/>
      <c r="F45" s="503">
        <f>SUM(F46:F46)</f>
        <v>0</v>
      </c>
      <c r="G45" s="503">
        <v>0</v>
      </c>
      <c r="I45" s="503">
        <f t="shared" si="0"/>
        <v>0</v>
      </c>
    </row>
    <row r="46" spans="1:9" hidden="1" x14ac:dyDescent="0.2">
      <c r="C46" s="380"/>
      <c r="D46" s="380"/>
      <c r="E46" s="380"/>
      <c r="I46" s="500">
        <f t="shared" si="0"/>
        <v>0</v>
      </c>
    </row>
    <row r="47" spans="1:9" hidden="1" x14ac:dyDescent="0.2">
      <c r="A47" s="379"/>
      <c r="C47" s="380"/>
      <c r="D47" s="380"/>
      <c r="E47" s="380"/>
      <c r="I47" s="500">
        <f t="shared" si="0"/>
        <v>0</v>
      </c>
    </row>
    <row r="48" spans="1:9" ht="12.75" x14ac:dyDescent="0.2">
      <c r="A48" s="381"/>
      <c r="B48" s="382" t="s">
        <v>209</v>
      </c>
      <c r="C48" s="383"/>
      <c r="D48" s="383"/>
      <c r="E48" s="383"/>
      <c r="F48" s="503">
        <f>SUM(F49:F52)</f>
        <v>1305950.49</v>
      </c>
      <c r="G48" s="503">
        <v>1253793.1200000001</v>
      </c>
      <c r="I48" s="503">
        <f t="shared" si="0"/>
        <v>52157.369999999879</v>
      </c>
    </row>
    <row r="49" spans="1:9" ht="12.75" x14ac:dyDescent="0.2">
      <c r="A49" s="373" t="s">
        <v>210</v>
      </c>
      <c r="B49" s="373" t="s">
        <v>211</v>
      </c>
      <c r="C49" s="380"/>
      <c r="D49" s="380"/>
      <c r="E49" s="380"/>
      <c r="F49" s="515">
        <v>41387.72</v>
      </c>
      <c r="G49" s="513">
        <v>41387.72</v>
      </c>
      <c r="I49" s="513">
        <f t="shared" si="0"/>
        <v>0</v>
      </c>
    </row>
    <row r="50" spans="1:9" x14ac:dyDescent="0.2">
      <c r="A50" s="373" t="s">
        <v>212</v>
      </c>
      <c r="B50" s="373" t="s">
        <v>213</v>
      </c>
      <c r="C50" s="380"/>
      <c r="D50" s="380"/>
      <c r="E50" s="380"/>
      <c r="F50" s="510">
        <v>1167134.72</v>
      </c>
      <c r="G50" s="500">
        <v>1123255.72</v>
      </c>
      <c r="I50" s="500">
        <f t="shared" si="0"/>
        <v>43879</v>
      </c>
    </row>
    <row r="51" spans="1:9" x14ac:dyDescent="0.2">
      <c r="A51" s="373" t="s">
        <v>214</v>
      </c>
      <c r="B51" s="373" t="s">
        <v>215</v>
      </c>
      <c r="C51" s="380"/>
      <c r="D51" s="380"/>
      <c r="E51" s="380"/>
      <c r="F51" s="510">
        <v>70107.600000000006</v>
      </c>
      <c r="G51" s="500">
        <v>70107.600000000006</v>
      </c>
      <c r="I51" s="500">
        <f t="shared" si="0"/>
        <v>0</v>
      </c>
    </row>
    <row r="52" spans="1:9" ht="12.75" x14ac:dyDescent="0.2">
      <c r="B52" s="373" t="s">
        <v>216</v>
      </c>
      <c r="C52" s="380"/>
      <c r="D52" s="380"/>
      <c r="E52" s="380"/>
      <c r="F52" s="515">
        <v>27320.45</v>
      </c>
      <c r="G52" s="515">
        <v>19042.080000000002</v>
      </c>
      <c r="I52" s="515">
        <f t="shared" si="0"/>
        <v>8278.369999999999</v>
      </c>
    </row>
    <row r="53" spans="1:9" x14ac:dyDescent="0.2">
      <c r="C53" s="380"/>
      <c r="D53" s="380"/>
      <c r="E53" s="380"/>
      <c r="I53" s="500">
        <f t="shared" si="0"/>
        <v>0</v>
      </c>
    </row>
    <row r="54" spans="1:9" ht="12.75" x14ac:dyDescent="0.2">
      <c r="A54" s="386"/>
      <c r="B54" s="387" t="s">
        <v>217</v>
      </c>
      <c r="C54" s="388"/>
      <c r="D54" s="388"/>
      <c r="E54" s="388"/>
      <c r="F54" s="514">
        <f>F48+F41+F38</f>
        <v>1322734.58</v>
      </c>
      <c r="G54" s="514">
        <v>1267209.83</v>
      </c>
      <c r="H54" s="384"/>
      <c r="I54" s="514">
        <f t="shared" si="0"/>
        <v>55524.75</v>
      </c>
    </row>
    <row r="55" spans="1:9" x14ac:dyDescent="0.2">
      <c r="C55" s="380"/>
      <c r="D55" s="380"/>
      <c r="E55" s="380"/>
      <c r="I55" s="500"/>
    </row>
    <row r="56" spans="1:9" x14ac:dyDescent="0.2">
      <c r="C56" s="380"/>
      <c r="D56" s="380"/>
      <c r="E56" s="380"/>
      <c r="I56" s="500"/>
    </row>
    <row r="57" spans="1:9" x14ac:dyDescent="0.2">
      <c r="B57" s="373" t="s">
        <v>218</v>
      </c>
      <c r="C57" s="380"/>
      <c r="D57" s="380"/>
      <c r="E57" s="380"/>
      <c r="F57" s="500">
        <f>F36-F54</f>
        <v>0</v>
      </c>
      <c r="G57" s="500">
        <v>-1.9999999785795808E-2</v>
      </c>
      <c r="I57" s="500">
        <f t="shared" si="0"/>
        <v>1.9999999785795808E-2</v>
      </c>
    </row>
    <row r="58" spans="1:9" x14ac:dyDescent="0.2">
      <c r="C58" s="380"/>
      <c r="D58" s="380"/>
      <c r="E58" s="380"/>
    </row>
    <row r="59" spans="1:9" x14ac:dyDescent="0.2">
      <c r="B59" s="389"/>
      <c r="C59" s="380"/>
      <c r="D59" s="380"/>
      <c r="E59" s="380"/>
    </row>
    <row r="60" spans="1:9" x14ac:dyDescent="0.2">
      <c r="C60" s="380"/>
      <c r="D60" s="380"/>
      <c r="E60" s="380"/>
    </row>
    <row r="61" spans="1:9" ht="12.75" x14ac:dyDescent="0.2">
      <c r="B61" s="389"/>
      <c r="C61" s="390"/>
      <c r="D61" s="389"/>
      <c r="E61" s="389"/>
      <c r="F61" s="516"/>
      <c r="G61" s="516"/>
    </row>
    <row r="65" spans="3:3" x14ac:dyDescent="0.2">
      <c r="C65" s="380"/>
    </row>
  </sheetData>
  <pageMargins left="0.7" right="0.7" top="0.75" bottom="0.75" header="0.3" footer="0.3"/>
  <pageSetup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EF576-3090-4A66-8833-71D29012FB92}">
  <sheetPr>
    <pageSetUpPr fitToPage="1"/>
  </sheetPr>
  <dimension ref="A2:P33"/>
  <sheetViews>
    <sheetView zoomScale="80" zoomScaleNormal="80" workbookViewId="0">
      <selection activeCell="C35" sqref="C35"/>
    </sheetView>
  </sheetViews>
  <sheetFormatPr defaultColWidth="9.140625" defaultRowHeight="12.75" x14ac:dyDescent="0.2"/>
  <cols>
    <col min="1" max="1" width="1" style="603" customWidth="1"/>
    <col min="2" max="2" width="14.42578125" style="603" customWidth="1"/>
    <col min="3" max="3" width="93.42578125" style="605" customWidth="1"/>
    <col min="4" max="4" width="5.42578125" style="605" customWidth="1"/>
    <col min="5" max="5" width="14.28515625" style="605" customWidth="1"/>
    <col min="6" max="6" width="2.7109375" style="605" customWidth="1"/>
    <col min="7" max="7" width="16.7109375" style="605" customWidth="1"/>
    <col min="8" max="8" width="2.85546875" style="605" customWidth="1"/>
    <col min="9" max="9" width="11.7109375" style="605" customWidth="1"/>
    <col min="10" max="10" width="2.7109375" style="605" customWidth="1"/>
    <col min="11" max="11" width="11.7109375" style="605" customWidth="1"/>
    <col min="12" max="12" width="2.7109375" style="605" customWidth="1"/>
    <col min="13" max="13" width="11.7109375" style="605" customWidth="1"/>
    <col min="14" max="14" width="2.7109375" style="605" customWidth="1"/>
    <col min="15" max="15" width="65.42578125" style="605" customWidth="1"/>
    <col min="16" max="16384" width="9.140625" style="605"/>
  </cols>
  <sheetData>
    <row r="2" spans="1:16" x14ac:dyDescent="0.2">
      <c r="C2" s="539" t="s">
        <v>113</v>
      </c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</row>
    <row r="3" spans="1:16" ht="3" customHeight="1" x14ac:dyDescent="0.2"/>
    <row r="4" spans="1:16" x14ac:dyDescent="0.2">
      <c r="C4" s="604" t="s">
        <v>517</v>
      </c>
      <c r="D4" s="604"/>
      <c r="E4" s="604"/>
      <c r="F4" s="604"/>
      <c r="G4" s="604"/>
      <c r="I4" s="604"/>
      <c r="K4" s="604"/>
      <c r="M4" s="604"/>
    </row>
    <row r="5" spans="1:16" x14ac:dyDescent="0.2">
      <c r="C5" s="604"/>
      <c r="D5" s="604"/>
      <c r="E5" s="604"/>
      <c r="F5" s="604"/>
      <c r="G5" s="604"/>
      <c r="I5" s="604"/>
      <c r="K5" s="604"/>
      <c r="M5" s="604"/>
    </row>
    <row r="6" spans="1:16" ht="15" customHeight="1" x14ac:dyDescent="0.2">
      <c r="B6" s="687" t="s">
        <v>114</v>
      </c>
      <c r="C6" s="687" t="s">
        <v>115</v>
      </c>
      <c r="D6" s="606"/>
      <c r="E6" s="607" t="s">
        <v>116</v>
      </c>
      <c r="F6" s="608"/>
      <c r="G6" s="607" t="s">
        <v>117</v>
      </c>
      <c r="I6" s="607" t="s">
        <v>118</v>
      </c>
      <c r="K6" s="607" t="s">
        <v>118</v>
      </c>
      <c r="M6" s="607" t="s">
        <v>119</v>
      </c>
      <c r="O6" s="607"/>
    </row>
    <row r="7" spans="1:16" ht="15" customHeight="1" thickBot="1" x14ac:dyDescent="0.25">
      <c r="B7" s="688"/>
      <c r="C7" s="688"/>
      <c r="D7" s="609"/>
      <c r="E7" s="610">
        <v>2024</v>
      </c>
      <c r="F7" s="611"/>
      <c r="G7" s="612" t="s">
        <v>518</v>
      </c>
      <c r="I7" s="613" t="s">
        <v>120</v>
      </c>
      <c r="K7" s="613" t="s">
        <v>121</v>
      </c>
      <c r="M7" s="613" t="s">
        <v>122</v>
      </c>
      <c r="O7" s="613" t="s">
        <v>123</v>
      </c>
    </row>
    <row r="8" spans="1:16" ht="15" customHeight="1" x14ac:dyDescent="0.2">
      <c r="B8" s="543" t="s">
        <v>452</v>
      </c>
      <c r="C8" s="544" t="s">
        <v>453</v>
      </c>
      <c r="E8" s="545">
        <v>20000</v>
      </c>
      <c r="F8" s="614"/>
      <c r="G8" s="615">
        <f>630.8</f>
        <v>630.79999999999995</v>
      </c>
      <c r="H8" s="616"/>
      <c r="I8" s="615">
        <f>+E8-G8</f>
        <v>19369.2</v>
      </c>
      <c r="J8" s="616"/>
      <c r="K8" s="615">
        <f>G8+I8</f>
        <v>20000</v>
      </c>
      <c r="L8" s="616"/>
      <c r="M8" s="615">
        <f>E8-G8</f>
        <v>19369.2</v>
      </c>
      <c r="N8" s="616"/>
      <c r="O8" s="617"/>
      <c r="P8" s="616"/>
    </row>
    <row r="9" spans="1:16" ht="15" customHeight="1" x14ac:dyDescent="0.2">
      <c r="B9" s="547" t="s">
        <v>454</v>
      </c>
      <c r="C9" s="548" t="s">
        <v>455</v>
      </c>
      <c r="E9" s="549">
        <v>6500</v>
      </c>
      <c r="F9" s="614"/>
      <c r="G9" s="615">
        <v>1268.8599999999999</v>
      </c>
      <c r="H9" s="616"/>
      <c r="I9" s="615">
        <f t="shared" ref="I9:I27" si="0">+E9-G9</f>
        <v>5231.1400000000003</v>
      </c>
      <c r="J9" s="616"/>
      <c r="K9" s="615">
        <f>G9+I9</f>
        <v>6500</v>
      </c>
      <c r="L9" s="616"/>
      <c r="M9" s="615">
        <f>E9-G9</f>
        <v>5231.1400000000003</v>
      </c>
      <c r="N9" s="616"/>
      <c r="O9" s="617"/>
      <c r="P9" s="616"/>
    </row>
    <row r="10" spans="1:16" s="616" customFormat="1" ht="15" customHeight="1" x14ac:dyDescent="0.2">
      <c r="A10" s="618"/>
      <c r="B10" s="547" t="s">
        <v>456</v>
      </c>
      <c r="C10" s="548" t="s">
        <v>457</v>
      </c>
      <c r="E10" s="552">
        <v>5000</v>
      </c>
      <c r="F10" s="619"/>
      <c r="G10" s="615"/>
      <c r="I10" s="615">
        <f t="shared" si="0"/>
        <v>5000</v>
      </c>
      <c r="K10" s="615">
        <f t="shared" ref="K10:K27" si="1">G10+I10</f>
        <v>5000</v>
      </c>
      <c r="M10" s="615">
        <f t="shared" ref="M10:M27" si="2">E10-G10</f>
        <v>5000</v>
      </c>
      <c r="O10" s="620"/>
    </row>
    <row r="11" spans="1:16" s="616" customFormat="1" ht="15" customHeight="1" x14ac:dyDescent="0.2">
      <c r="A11" s="618"/>
      <c r="B11" s="547" t="s">
        <v>458</v>
      </c>
      <c r="C11" s="548" t="s">
        <v>459</v>
      </c>
      <c r="E11" s="553">
        <v>5000</v>
      </c>
      <c r="F11" s="619"/>
      <c r="G11" s="615"/>
      <c r="I11" s="615">
        <f t="shared" si="0"/>
        <v>5000</v>
      </c>
      <c r="K11" s="615">
        <f t="shared" si="1"/>
        <v>5000</v>
      </c>
      <c r="M11" s="615">
        <f t="shared" si="2"/>
        <v>5000</v>
      </c>
      <c r="O11" s="621"/>
    </row>
    <row r="12" spans="1:16" s="616" customFormat="1" ht="15" customHeight="1" x14ac:dyDescent="0.2">
      <c r="A12" s="618"/>
      <c r="B12" s="547" t="s">
        <v>460</v>
      </c>
      <c r="C12" s="548" t="s">
        <v>461</v>
      </c>
      <c r="E12" s="553">
        <v>7500</v>
      </c>
      <c r="F12" s="619"/>
      <c r="G12" s="615"/>
      <c r="I12" s="615">
        <f t="shared" si="0"/>
        <v>7500</v>
      </c>
      <c r="K12" s="615">
        <f t="shared" si="1"/>
        <v>7500</v>
      </c>
      <c r="M12" s="615">
        <f t="shared" si="2"/>
        <v>7500</v>
      </c>
      <c r="O12" s="621"/>
    </row>
    <row r="13" spans="1:16" s="616" customFormat="1" ht="15" customHeight="1" x14ac:dyDescent="0.2">
      <c r="A13" s="618"/>
      <c r="B13" s="547" t="s">
        <v>462</v>
      </c>
      <c r="C13" s="548" t="s">
        <v>463</v>
      </c>
      <c r="E13" s="553">
        <v>24000</v>
      </c>
      <c r="F13" s="619"/>
      <c r="G13" s="615"/>
      <c r="I13" s="615">
        <f t="shared" si="0"/>
        <v>24000</v>
      </c>
      <c r="K13" s="615">
        <f t="shared" si="1"/>
        <v>24000</v>
      </c>
      <c r="M13" s="615">
        <f t="shared" si="2"/>
        <v>24000</v>
      </c>
      <c r="O13" s="620"/>
    </row>
    <row r="14" spans="1:16" s="616" customFormat="1" ht="14.25" x14ac:dyDescent="0.2">
      <c r="A14" s="618"/>
      <c r="B14" s="547" t="s">
        <v>464</v>
      </c>
      <c r="C14" s="548" t="s">
        <v>465</v>
      </c>
      <c r="E14" s="553">
        <v>13000</v>
      </c>
      <c r="F14" s="619"/>
      <c r="G14" s="615"/>
      <c r="I14" s="615">
        <f t="shared" si="0"/>
        <v>13000</v>
      </c>
      <c r="K14" s="615">
        <f t="shared" si="1"/>
        <v>13000</v>
      </c>
      <c r="M14" s="615">
        <f t="shared" si="2"/>
        <v>13000</v>
      </c>
      <c r="O14" s="622"/>
    </row>
    <row r="15" spans="1:16" s="616" customFormat="1" ht="32.450000000000003" customHeight="1" x14ac:dyDescent="0.2">
      <c r="A15" s="618"/>
      <c r="B15" s="547" t="s">
        <v>466</v>
      </c>
      <c r="C15" s="623" t="s">
        <v>467</v>
      </c>
      <c r="E15" s="555">
        <v>30000</v>
      </c>
      <c r="G15" s="615"/>
      <c r="I15" s="615">
        <f t="shared" si="0"/>
        <v>30000</v>
      </c>
      <c r="K15" s="615">
        <f t="shared" si="1"/>
        <v>30000</v>
      </c>
      <c r="M15" s="615">
        <f t="shared" si="2"/>
        <v>30000</v>
      </c>
      <c r="O15" s="620"/>
    </row>
    <row r="16" spans="1:16" s="616" customFormat="1" ht="17.25" customHeight="1" x14ac:dyDescent="0.2">
      <c r="A16" s="618"/>
      <c r="B16" s="547" t="s">
        <v>468</v>
      </c>
      <c r="C16" s="557" t="s">
        <v>469</v>
      </c>
      <c r="E16" s="553">
        <v>4000</v>
      </c>
      <c r="F16" s="624"/>
      <c r="G16" s="625"/>
      <c r="I16" s="615">
        <f t="shared" si="0"/>
        <v>4000</v>
      </c>
      <c r="K16" s="615">
        <f t="shared" si="1"/>
        <v>4000</v>
      </c>
      <c r="M16" s="615">
        <f t="shared" si="2"/>
        <v>4000</v>
      </c>
      <c r="O16" s="626"/>
    </row>
    <row r="17" spans="1:15" s="616" customFormat="1" ht="17.25" customHeight="1" x14ac:dyDescent="0.2">
      <c r="A17" s="618"/>
      <c r="B17" s="547" t="s">
        <v>470</v>
      </c>
      <c r="C17" s="557" t="s">
        <v>471</v>
      </c>
      <c r="E17" s="553">
        <v>8500</v>
      </c>
      <c r="F17" s="624"/>
      <c r="G17" s="625"/>
      <c r="I17" s="615">
        <f t="shared" si="0"/>
        <v>8500</v>
      </c>
      <c r="K17" s="615">
        <f t="shared" si="1"/>
        <v>8500</v>
      </c>
      <c r="M17" s="615">
        <f t="shared" si="2"/>
        <v>8500</v>
      </c>
      <c r="O17" s="626"/>
    </row>
    <row r="18" spans="1:15" s="616" customFormat="1" ht="15" customHeight="1" x14ac:dyDescent="0.2">
      <c r="A18" s="618"/>
      <c r="B18" s="547" t="s">
        <v>472</v>
      </c>
      <c r="C18" s="559" t="s">
        <v>473</v>
      </c>
      <c r="E18" s="555">
        <v>12000</v>
      </c>
      <c r="F18" s="619"/>
      <c r="G18" s="615"/>
      <c r="I18" s="615">
        <f t="shared" si="0"/>
        <v>12000</v>
      </c>
      <c r="K18" s="615">
        <f t="shared" si="1"/>
        <v>12000</v>
      </c>
      <c r="M18" s="615">
        <f t="shared" si="2"/>
        <v>12000</v>
      </c>
      <c r="O18" s="621"/>
    </row>
    <row r="19" spans="1:15" s="616" customFormat="1" ht="28.9" customHeight="1" x14ac:dyDescent="0.2">
      <c r="A19" s="618"/>
      <c r="B19" s="547" t="s">
        <v>474</v>
      </c>
      <c r="C19" s="560" t="s">
        <v>475</v>
      </c>
      <c r="E19" s="555">
        <f>4800+5500+3500</f>
        <v>13800</v>
      </c>
      <c r="G19" s="615"/>
      <c r="I19" s="615">
        <f t="shared" si="0"/>
        <v>13800</v>
      </c>
      <c r="K19" s="615">
        <f t="shared" si="1"/>
        <v>13800</v>
      </c>
      <c r="M19" s="615">
        <f t="shared" si="2"/>
        <v>13800</v>
      </c>
      <c r="O19" s="621"/>
    </row>
    <row r="20" spans="1:15" s="616" customFormat="1" ht="15" customHeight="1" x14ac:dyDescent="0.2">
      <c r="A20" s="618"/>
      <c r="B20" s="547" t="s">
        <v>476</v>
      </c>
      <c r="C20" s="557" t="s">
        <v>271</v>
      </c>
      <c r="E20" s="553">
        <v>8000</v>
      </c>
      <c r="G20" s="615"/>
      <c r="I20" s="615">
        <f t="shared" si="0"/>
        <v>8000</v>
      </c>
      <c r="K20" s="615">
        <f t="shared" si="1"/>
        <v>8000</v>
      </c>
      <c r="M20" s="615">
        <f t="shared" si="2"/>
        <v>8000</v>
      </c>
      <c r="O20" s="620"/>
    </row>
    <row r="21" spans="1:15" s="616" customFormat="1" ht="15" customHeight="1" x14ac:dyDescent="0.2">
      <c r="A21" s="618"/>
      <c r="B21" s="547" t="s">
        <v>477</v>
      </c>
      <c r="C21" s="561" t="s">
        <v>478</v>
      </c>
      <c r="E21" s="553">
        <v>9000</v>
      </c>
      <c r="G21" s="615"/>
      <c r="I21" s="615">
        <f t="shared" si="0"/>
        <v>9000</v>
      </c>
      <c r="K21" s="615">
        <f t="shared" si="1"/>
        <v>9000</v>
      </c>
      <c r="M21" s="615">
        <f t="shared" si="2"/>
        <v>9000</v>
      </c>
      <c r="O21" s="620"/>
    </row>
    <row r="22" spans="1:15" s="616" customFormat="1" ht="15" customHeight="1" x14ac:dyDescent="0.2">
      <c r="A22" s="618"/>
      <c r="B22" s="547" t="s">
        <v>479</v>
      </c>
      <c r="C22" s="548" t="s">
        <v>480</v>
      </c>
      <c r="E22" s="553">
        <v>13000</v>
      </c>
      <c r="G22" s="615"/>
      <c r="I22" s="615">
        <f t="shared" si="0"/>
        <v>13000</v>
      </c>
      <c r="K22" s="615">
        <f t="shared" si="1"/>
        <v>13000</v>
      </c>
      <c r="M22" s="615">
        <f t="shared" si="2"/>
        <v>13000</v>
      </c>
      <c r="O22" s="627"/>
    </row>
    <row r="23" spans="1:15" s="616" customFormat="1" ht="15" customHeight="1" x14ac:dyDescent="0.2">
      <c r="A23" s="618"/>
      <c r="B23" s="547" t="s">
        <v>481</v>
      </c>
      <c r="C23" s="548" t="s">
        <v>482</v>
      </c>
      <c r="E23" s="553">
        <v>5500</v>
      </c>
      <c r="G23" s="615"/>
      <c r="I23" s="615">
        <f t="shared" si="0"/>
        <v>5500</v>
      </c>
      <c r="K23" s="615">
        <f t="shared" si="1"/>
        <v>5500</v>
      </c>
      <c r="M23" s="615">
        <f t="shared" si="2"/>
        <v>5500</v>
      </c>
      <c r="O23" s="628"/>
    </row>
    <row r="24" spans="1:15" s="616" customFormat="1" ht="15" customHeight="1" x14ac:dyDescent="0.2">
      <c r="A24" s="618"/>
      <c r="B24" s="547" t="s">
        <v>483</v>
      </c>
      <c r="C24" s="548" t="s">
        <v>484</v>
      </c>
      <c r="E24" s="553">
        <v>8000</v>
      </c>
      <c r="G24" s="629"/>
      <c r="I24" s="615">
        <f t="shared" si="0"/>
        <v>8000</v>
      </c>
      <c r="K24" s="615">
        <f t="shared" si="1"/>
        <v>8000</v>
      </c>
      <c r="M24" s="615">
        <f t="shared" si="2"/>
        <v>8000</v>
      </c>
      <c r="O24" s="620"/>
    </row>
    <row r="25" spans="1:15" s="616" customFormat="1" ht="15" customHeight="1" x14ac:dyDescent="0.2">
      <c r="A25" s="618"/>
      <c r="B25" s="547" t="s">
        <v>485</v>
      </c>
      <c r="C25" s="548" t="s">
        <v>486</v>
      </c>
      <c r="E25" s="553">
        <v>4500</v>
      </c>
      <c r="G25" s="629"/>
      <c r="I25" s="615">
        <f t="shared" si="0"/>
        <v>4500</v>
      </c>
      <c r="K25" s="615">
        <f t="shared" si="1"/>
        <v>4500</v>
      </c>
      <c r="M25" s="615">
        <f t="shared" si="2"/>
        <v>4500</v>
      </c>
      <c r="O25" s="620"/>
    </row>
    <row r="26" spans="1:15" s="616" customFormat="1" ht="15" customHeight="1" x14ac:dyDescent="0.2">
      <c r="A26" s="618"/>
      <c r="B26" s="547" t="s">
        <v>487</v>
      </c>
      <c r="C26" s="548" t="s">
        <v>488</v>
      </c>
      <c r="E26" s="553">
        <v>10000</v>
      </c>
      <c r="G26" s="629"/>
      <c r="I26" s="615">
        <f t="shared" si="0"/>
        <v>10000</v>
      </c>
      <c r="K26" s="615">
        <f t="shared" si="1"/>
        <v>10000</v>
      </c>
      <c r="M26" s="615">
        <f t="shared" si="2"/>
        <v>10000</v>
      </c>
      <c r="O26" s="620"/>
    </row>
    <row r="27" spans="1:15" s="616" customFormat="1" ht="15" customHeight="1" x14ac:dyDescent="0.2">
      <c r="A27" s="618"/>
      <c r="B27" s="547" t="s">
        <v>489</v>
      </c>
      <c r="C27" s="562" t="s">
        <v>94</v>
      </c>
      <c r="E27" s="563">
        <v>15000</v>
      </c>
      <c r="G27" s="629">
        <v>-18023.689999999999</v>
      </c>
      <c r="I27" s="615">
        <f t="shared" si="0"/>
        <v>33023.69</v>
      </c>
      <c r="K27" s="615">
        <f t="shared" si="1"/>
        <v>15000.000000000004</v>
      </c>
      <c r="M27" s="615">
        <f t="shared" si="2"/>
        <v>33023.69</v>
      </c>
      <c r="O27" s="617"/>
    </row>
    <row r="28" spans="1:15" s="616" customFormat="1" ht="15" customHeight="1" x14ac:dyDescent="0.2">
      <c r="A28" s="618"/>
      <c r="B28" s="628"/>
      <c r="C28" s="628"/>
      <c r="E28" s="625"/>
      <c r="G28" s="629"/>
      <c r="I28" s="615"/>
      <c r="K28" s="615"/>
      <c r="M28" s="615"/>
      <c r="O28" s="620"/>
    </row>
    <row r="29" spans="1:15" s="616" customFormat="1" ht="15" customHeight="1" x14ac:dyDescent="0.2">
      <c r="A29" s="618"/>
      <c r="B29" s="628"/>
      <c r="C29" s="620"/>
      <c r="E29" s="615"/>
      <c r="G29" s="615"/>
      <c r="I29" s="615"/>
      <c r="K29" s="615">
        <f>G29+I29</f>
        <v>0</v>
      </c>
      <c r="M29" s="615">
        <f>K29-E29</f>
        <v>0</v>
      </c>
      <c r="O29" s="620"/>
    </row>
    <row r="30" spans="1:15" s="632" customFormat="1" ht="15" customHeight="1" x14ac:dyDescent="0.2">
      <c r="A30" s="630"/>
      <c r="B30" s="628"/>
      <c r="C30" s="631" t="s">
        <v>519</v>
      </c>
      <c r="E30" s="633">
        <f>SUM(E8:E29)</f>
        <v>222300</v>
      </c>
      <c r="G30" s="633">
        <f>SUM(G8:G29)</f>
        <v>-16124.029999999999</v>
      </c>
      <c r="I30" s="633">
        <f>SUM(I8:I29)</f>
        <v>238424.03</v>
      </c>
      <c r="K30" s="633">
        <f>SUM(K8:K29)</f>
        <v>222300</v>
      </c>
      <c r="M30" s="633">
        <f>SUM(M8:M29)</f>
        <v>238424.03</v>
      </c>
    </row>
    <row r="31" spans="1:15" ht="15" customHeight="1" x14ac:dyDescent="0.2">
      <c r="E31" s="634"/>
      <c r="F31" s="634"/>
      <c r="G31" s="634"/>
      <c r="I31" s="634"/>
      <c r="K31" s="634"/>
      <c r="M31" s="634"/>
    </row>
    <row r="32" spans="1:15" ht="15" customHeight="1" x14ac:dyDescent="0.2">
      <c r="E32" s="634"/>
      <c r="F32" s="634"/>
      <c r="G32" s="634"/>
      <c r="I32" s="635"/>
      <c r="K32" s="634"/>
      <c r="M32" s="634"/>
    </row>
    <row r="33" spans="5:15" ht="17.100000000000001" customHeight="1" x14ac:dyDescent="0.25">
      <c r="E33" s="634"/>
      <c r="F33" s="634"/>
      <c r="G33" s="634"/>
      <c r="I33" s="634"/>
      <c r="K33" s="634"/>
      <c r="M33" s="634"/>
      <c r="O33" s="636"/>
    </row>
  </sheetData>
  <mergeCells count="2">
    <mergeCell ref="B6:B7"/>
    <mergeCell ref="C6:C7"/>
  </mergeCells>
  <pageMargins left="1" right="1" top="1" bottom="1" header="0.5" footer="0.5"/>
  <pageSetup scale="44" orientation="landscape" r:id="rId1"/>
  <colBreaks count="1" manualBreakCount="1">
    <brk id="15" max="50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64C7D-478B-4864-85A3-15D1FCD2EA1C}">
  <sheetPr>
    <pageSetUpPr fitToPage="1"/>
  </sheetPr>
  <dimension ref="A2:Q22"/>
  <sheetViews>
    <sheetView topLeftCell="C1" zoomScale="90" zoomScaleNormal="90" workbookViewId="0">
      <selection activeCell="I16" sqref="I16"/>
    </sheetView>
  </sheetViews>
  <sheetFormatPr defaultColWidth="9.140625" defaultRowHeight="12.75" x14ac:dyDescent="0.2"/>
  <cols>
    <col min="1" max="1" width="1.7109375" style="603" customWidth="1"/>
    <col min="2" max="2" width="12.140625" style="603" customWidth="1"/>
    <col min="3" max="3" width="64.85546875" style="605" customWidth="1"/>
    <col min="4" max="4" width="3.7109375" style="605" customWidth="1"/>
    <col min="5" max="5" width="12.7109375" style="605" customWidth="1"/>
    <col min="6" max="6" width="2.42578125" style="605" customWidth="1"/>
    <col min="7" max="7" width="16.42578125" style="605" customWidth="1"/>
    <col min="8" max="8" width="2.7109375" style="605" customWidth="1"/>
    <col min="9" max="9" width="12.7109375" style="605" customWidth="1"/>
    <col min="10" max="10" width="2.7109375" style="638" customWidth="1"/>
    <col min="11" max="11" width="12.7109375" style="605" customWidth="1"/>
    <col min="12" max="12" width="2.7109375" style="638" customWidth="1"/>
    <col min="13" max="13" width="12.28515625" style="605" customWidth="1"/>
    <col min="14" max="14" width="2.7109375" style="638" hidden="1" customWidth="1"/>
    <col min="15" max="15" width="2.7109375" style="638" customWidth="1"/>
    <col min="16" max="16" width="70.42578125" style="605" customWidth="1"/>
    <col min="17" max="16384" width="9.140625" style="605"/>
  </cols>
  <sheetData>
    <row r="2" spans="1:17" x14ac:dyDescent="0.2">
      <c r="C2" s="539" t="s">
        <v>113</v>
      </c>
      <c r="D2" s="604"/>
      <c r="E2" s="604"/>
      <c r="G2" s="604"/>
      <c r="H2" s="604"/>
      <c r="I2" s="604"/>
      <c r="J2" s="604"/>
      <c r="K2" s="604"/>
      <c r="L2" s="604"/>
      <c r="M2" s="604"/>
      <c r="N2" s="604"/>
      <c r="O2" s="604"/>
      <c r="P2" s="637"/>
      <c r="Q2" s="604"/>
    </row>
    <row r="3" spans="1:17" ht="3" customHeight="1" x14ac:dyDescent="0.2"/>
    <row r="4" spans="1:17" x14ac:dyDescent="0.2">
      <c r="C4" s="604" t="s">
        <v>520</v>
      </c>
      <c r="D4" s="604"/>
      <c r="E4" s="604"/>
      <c r="G4" s="604"/>
    </row>
    <row r="5" spans="1:17" x14ac:dyDescent="0.2">
      <c r="C5" s="604"/>
      <c r="D5" s="604"/>
      <c r="E5" s="639" t="s">
        <v>116</v>
      </c>
      <c r="G5" s="639" t="s">
        <v>130</v>
      </c>
      <c r="I5" s="607" t="s">
        <v>118</v>
      </c>
      <c r="J5" s="640"/>
      <c r="K5" s="607" t="s">
        <v>118</v>
      </c>
      <c r="L5" s="640"/>
      <c r="M5" s="607" t="s">
        <v>436</v>
      </c>
      <c r="N5" s="640"/>
      <c r="O5" s="640"/>
      <c r="P5" s="639"/>
    </row>
    <row r="6" spans="1:17" ht="15" customHeight="1" thickBot="1" x14ac:dyDescent="0.25">
      <c r="B6" s="641" t="s">
        <v>131</v>
      </c>
      <c r="C6" s="641" t="s">
        <v>132</v>
      </c>
      <c r="D6" s="606"/>
      <c r="E6" s="642">
        <v>2024</v>
      </c>
      <c r="G6" s="643" t="s">
        <v>518</v>
      </c>
      <c r="I6" s="613" t="s">
        <v>120</v>
      </c>
      <c r="J6" s="640"/>
      <c r="K6" s="613" t="s">
        <v>121</v>
      </c>
      <c r="L6" s="640"/>
      <c r="M6" s="613" t="s">
        <v>116</v>
      </c>
      <c r="N6" s="640"/>
      <c r="O6" s="640"/>
      <c r="P6" s="644" t="s">
        <v>123</v>
      </c>
    </row>
    <row r="7" spans="1:17" ht="39" customHeight="1" x14ac:dyDescent="0.2">
      <c r="B7" s="574" t="s">
        <v>492</v>
      </c>
      <c r="C7" s="645" t="s">
        <v>493</v>
      </c>
      <c r="E7" s="646">
        <v>80000</v>
      </c>
      <c r="F7" s="638"/>
      <c r="G7" s="615">
        <v>1044</v>
      </c>
      <c r="I7" s="615">
        <f>+E7-G7</f>
        <v>78956</v>
      </c>
      <c r="J7" s="616"/>
      <c r="K7" s="646">
        <f>G7+I7</f>
        <v>80000</v>
      </c>
      <c r="L7" s="647"/>
      <c r="M7" s="646">
        <f>E7-K7</f>
        <v>0</v>
      </c>
      <c r="N7" s="647"/>
      <c r="O7" s="647"/>
      <c r="P7" s="617"/>
    </row>
    <row r="8" spans="1:17" ht="15" customHeight="1" x14ac:dyDescent="0.2">
      <c r="B8" s="575" t="s">
        <v>494</v>
      </c>
      <c r="C8" s="559" t="s">
        <v>495</v>
      </c>
      <c r="D8" s="616"/>
      <c r="E8" s="615">
        <v>100000</v>
      </c>
      <c r="G8" s="615"/>
      <c r="I8" s="615">
        <f t="shared" ref="I8:I13" si="0">+E8-G8</f>
        <v>100000</v>
      </c>
      <c r="J8" s="616"/>
      <c r="K8" s="646">
        <f t="shared" ref="K8:K13" si="1">G8+I8</f>
        <v>100000</v>
      </c>
      <c r="L8" s="605"/>
      <c r="M8" s="646">
        <f t="shared" ref="M8:M13" si="2">E8-K8</f>
        <v>0</v>
      </c>
      <c r="N8" s="605"/>
      <c r="O8" s="648"/>
      <c r="P8" s="649"/>
    </row>
    <row r="9" spans="1:17" s="616" customFormat="1" ht="15" customHeight="1" x14ac:dyDescent="0.2">
      <c r="A9" s="618"/>
      <c r="B9" s="576" t="s">
        <v>496</v>
      </c>
      <c r="C9" s="577" t="s">
        <v>497</v>
      </c>
      <c r="E9" s="646">
        <v>48000</v>
      </c>
      <c r="G9" s="615"/>
      <c r="I9" s="615">
        <f t="shared" si="0"/>
        <v>48000</v>
      </c>
      <c r="K9" s="646">
        <f t="shared" si="1"/>
        <v>48000</v>
      </c>
      <c r="M9" s="646">
        <f t="shared" si="2"/>
        <v>0</v>
      </c>
      <c r="O9" s="650"/>
      <c r="P9" s="628"/>
    </row>
    <row r="10" spans="1:17" s="616" customFormat="1" ht="15" customHeight="1" x14ac:dyDescent="0.2">
      <c r="A10" s="618"/>
      <c r="B10" s="576" t="s">
        <v>498</v>
      </c>
      <c r="C10" s="578" t="s">
        <v>499</v>
      </c>
      <c r="E10" s="646">
        <v>38000</v>
      </c>
      <c r="G10" s="615"/>
      <c r="I10" s="615">
        <f t="shared" si="0"/>
        <v>38000</v>
      </c>
      <c r="K10" s="646">
        <f t="shared" si="1"/>
        <v>38000</v>
      </c>
      <c r="M10" s="646">
        <f t="shared" si="2"/>
        <v>0</v>
      </c>
      <c r="O10" s="650"/>
      <c r="P10" s="628"/>
    </row>
    <row r="11" spans="1:17" s="616" customFormat="1" ht="33" customHeight="1" x14ac:dyDescent="0.2">
      <c r="A11" s="618"/>
      <c r="B11" s="576" t="s">
        <v>500</v>
      </c>
      <c r="C11" s="651" t="s">
        <v>501</v>
      </c>
      <c r="E11" s="646">
        <v>34000</v>
      </c>
      <c r="G11" s="615"/>
      <c r="I11" s="615">
        <f t="shared" si="0"/>
        <v>34000</v>
      </c>
      <c r="K11" s="646">
        <f t="shared" si="1"/>
        <v>34000</v>
      </c>
      <c r="M11" s="646">
        <f t="shared" si="2"/>
        <v>0</v>
      </c>
      <c r="O11" s="650"/>
      <c r="P11" s="628"/>
    </row>
    <row r="12" spans="1:17" s="616" customFormat="1" ht="15" customHeight="1" x14ac:dyDescent="0.2">
      <c r="A12" s="618"/>
      <c r="B12" s="576" t="s">
        <v>502</v>
      </c>
      <c r="C12" s="577" t="s">
        <v>503</v>
      </c>
      <c r="E12" s="646">
        <v>20500</v>
      </c>
      <c r="G12" s="615">
        <f>20500</f>
        <v>20500</v>
      </c>
      <c r="I12" s="615">
        <f t="shared" si="0"/>
        <v>0</v>
      </c>
      <c r="K12" s="646">
        <f t="shared" si="1"/>
        <v>20500</v>
      </c>
      <c r="M12" s="646">
        <f t="shared" si="2"/>
        <v>0</v>
      </c>
      <c r="O12" s="650"/>
      <c r="P12" s="628"/>
    </row>
    <row r="13" spans="1:17" s="616" customFormat="1" ht="15" customHeight="1" x14ac:dyDescent="0.2">
      <c r="A13" s="618"/>
      <c r="B13" s="576" t="s">
        <v>504</v>
      </c>
      <c r="C13" s="579" t="s">
        <v>505</v>
      </c>
      <c r="E13" s="646">
        <v>12000</v>
      </c>
      <c r="G13" s="615">
        <v>0</v>
      </c>
      <c r="I13" s="615">
        <f t="shared" si="0"/>
        <v>12000</v>
      </c>
      <c r="K13" s="646">
        <f t="shared" si="1"/>
        <v>12000</v>
      </c>
      <c r="M13" s="646">
        <f t="shared" si="2"/>
        <v>0</v>
      </c>
      <c r="O13" s="650"/>
      <c r="P13" s="628"/>
    </row>
    <row r="14" spans="1:17" s="616" customFormat="1" ht="15" customHeight="1" x14ac:dyDescent="0.2">
      <c r="A14" s="618"/>
      <c r="B14" s="628"/>
      <c r="C14" s="620"/>
      <c r="E14" s="646"/>
      <c r="G14" s="615"/>
      <c r="I14" s="615"/>
      <c r="K14" s="646"/>
      <c r="M14" s="646"/>
      <c r="P14" s="628"/>
    </row>
    <row r="15" spans="1:17" ht="15" customHeight="1" x14ac:dyDescent="0.2">
      <c r="B15" s="628"/>
      <c r="C15" s="620"/>
      <c r="D15" s="616"/>
      <c r="E15" s="652"/>
      <c r="F15" s="616"/>
      <c r="G15" s="615"/>
      <c r="H15" s="616"/>
      <c r="I15" s="615"/>
      <c r="J15" s="616"/>
      <c r="K15" s="646">
        <f>+E15</f>
        <v>0</v>
      </c>
      <c r="L15" s="616"/>
      <c r="M15" s="646">
        <f>+E15-G15</f>
        <v>0</v>
      </c>
      <c r="N15" s="616"/>
      <c r="O15" s="616"/>
      <c r="P15" s="620"/>
    </row>
    <row r="16" spans="1:17" s="632" customFormat="1" ht="15" customHeight="1" x14ac:dyDescent="0.2">
      <c r="A16" s="630"/>
      <c r="B16" s="630"/>
      <c r="C16" s="631" t="s">
        <v>521</v>
      </c>
      <c r="E16" s="633">
        <f>SUM(E7:E15)</f>
        <v>332500</v>
      </c>
      <c r="F16" s="653"/>
      <c r="G16" s="633">
        <f>SUM(G7:G15)</f>
        <v>21544</v>
      </c>
      <c r="I16" s="633">
        <f>SUM(I7:I15)</f>
        <v>310956</v>
      </c>
      <c r="J16" s="653"/>
      <c r="K16" s="633">
        <f>SUM(K7:K15)</f>
        <v>332500</v>
      </c>
      <c r="L16" s="654"/>
      <c r="M16" s="633">
        <f>SUM(M7:M15)</f>
        <v>0</v>
      </c>
      <c r="N16" s="654"/>
      <c r="O16" s="654"/>
    </row>
    <row r="17" spans="1:16" s="632" customFormat="1" ht="15" customHeight="1" x14ac:dyDescent="0.2">
      <c r="A17" s="630"/>
      <c r="B17" s="630"/>
      <c r="E17" s="655"/>
      <c r="F17" s="653"/>
      <c r="G17" s="656"/>
      <c r="I17" s="655"/>
      <c r="J17" s="653"/>
      <c r="K17" s="655"/>
      <c r="L17" s="654"/>
      <c r="M17" s="655"/>
      <c r="N17" s="654"/>
      <c r="O17" s="654"/>
    </row>
    <row r="18" spans="1:16" ht="18" x14ac:dyDescent="0.25">
      <c r="P18" s="636" t="s">
        <v>522</v>
      </c>
    </row>
    <row r="22" spans="1:16" x14ac:dyDescent="0.2">
      <c r="I22" s="657"/>
    </row>
  </sheetData>
  <pageMargins left="1" right="1" top="1" bottom="1" header="0.5" footer="0.5"/>
  <pageSetup scale="4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C10D2-F3DA-4D98-A53F-45C7E6085CA3}">
  <dimension ref="A2:P40"/>
  <sheetViews>
    <sheetView workbookViewId="0">
      <selection activeCell="I15" sqref="I15"/>
    </sheetView>
  </sheetViews>
  <sheetFormatPr defaultColWidth="9.140625" defaultRowHeight="12.75" x14ac:dyDescent="0.2"/>
  <cols>
    <col min="1" max="1" width="1.7109375" style="601" customWidth="1"/>
    <col min="2" max="3" width="9.140625" style="584" hidden="1" customWidth="1"/>
    <col min="4" max="5" width="12.85546875" style="584" hidden="1" customWidth="1"/>
    <col min="6" max="7" width="14.7109375" style="584" hidden="1" customWidth="1"/>
    <col min="8" max="8" width="4" style="584" customWidth="1"/>
    <col min="9" max="10" width="9.140625" style="584"/>
    <col min="11" max="11" width="12.85546875" style="584" bestFit="1" customWidth="1"/>
    <col min="12" max="12" width="11.5703125" style="584" customWidth="1"/>
    <col min="13" max="15" width="14.7109375" style="584" customWidth="1"/>
    <col min="16" max="16" width="31" style="584" customWidth="1"/>
    <col min="17" max="17" width="10.28515625" style="584" bestFit="1" customWidth="1"/>
    <col min="18" max="16384" width="9.140625" style="584"/>
  </cols>
  <sheetData>
    <row r="2" spans="2:16" x14ac:dyDescent="0.2">
      <c r="C2" s="585"/>
      <c r="D2" s="585"/>
      <c r="E2" s="585"/>
      <c r="F2" s="585"/>
      <c r="G2" s="585"/>
      <c r="H2" s="585"/>
      <c r="I2" s="585" t="s">
        <v>113</v>
      </c>
      <c r="J2" s="585"/>
      <c r="K2" s="585"/>
      <c r="L2" s="585"/>
      <c r="M2" s="585"/>
    </row>
    <row r="4" spans="2:16" x14ac:dyDescent="0.2">
      <c r="C4" s="585"/>
      <c r="D4" s="585"/>
      <c r="E4" s="585"/>
      <c r="F4" s="585"/>
      <c r="G4" s="585"/>
      <c r="H4" s="585"/>
      <c r="I4" s="585" t="s">
        <v>507</v>
      </c>
      <c r="J4" s="585"/>
      <c r="K4" s="585"/>
      <c r="L4" s="585"/>
      <c r="M4" s="585"/>
    </row>
    <row r="6" spans="2:16" x14ac:dyDescent="0.2">
      <c r="B6" s="689" t="s">
        <v>134</v>
      </c>
      <c r="C6" s="689"/>
      <c r="D6" s="689"/>
      <c r="E6" s="689"/>
      <c r="F6" s="689"/>
      <c r="G6" s="689"/>
      <c r="I6" s="587" t="s">
        <v>135</v>
      </c>
      <c r="J6" s="587"/>
      <c r="K6" s="587"/>
      <c r="L6" s="587"/>
      <c r="M6" s="586" t="s">
        <v>136</v>
      </c>
      <c r="N6" s="586" t="s">
        <v>137</v>
      </c>
      <c r="O6" s="586" t="s">
        <v>138</v>
      </c>
    </row>
    <row r="8" spans="2:16" x14ac:dyDescent="0.2">
      <c r="B8" s="585" t="s">
        <v>139</v>
      </c>
      <c r="C8" s="585"/>
      <c r="D8" s="585"/>
      <c r="E8" s="585"/>
      <c r="F8" s="588">
        <v>-26726</v>
      </c>
      <c r="G8" s="588">
        <v>-26726</v>
      </c>
      <c r="I8" s="585" t="s">
        <v>508</v>
      </c>
      <c r="J8" s="585"/>
      <c r="K8" s="585"/>
      <c r="L8" s="585"/>
      <c r="M8" s="588">
        <v>39399.619999999966</v>
      </c>
      <c r="N8" s="588">
        <v>1001517.456</v>
      </c>
      <c r="O8" s="589">
        <f>SUM(M8:N8)</f>
        <v>1040917.076</v>
      </c>
      <c r="P8" s="590"/>
    </row>
    <row r="9" spans="2:16" x14ac:dyDescent="0.2">
      <c r="F9" s="591"/>
      <c r="G9" s="591"/>
      <c r="M9" s="591"/>
      <c r="N9" s="591"/>
      <c r="O9" s="589"/>
    </row>
    <row r="10" spans="2:16" x14ac:dyDescent="0.2">
      <c r="B10" s="592" t="s">
        <v>140</v>
      </c>
      <c r="E10" s="593">
        <v>0.42</v>
      </c>
      <c r="F10" s="594">
        <v>6444</v>
      </c>
      <c r="G10" s="594">
        <v>6444</v>
      </c>
      <c r="I10" s="585" t="s">
        <v>523</v>
      </c>
      <c r="L10" s="595"/>
      <c r="M10" s="589">
        <f>16457+16457+16457</f>
        <v>49371</v>
      </c>
      <c r="N10" s="589">
        <f>27431+27431+27431</f>
        <v>82293</v>
      </c>
      <c r="O10" s="589">
        <f>SUM(M10:N10)</f>
        <v>131664</v>
      </c>
    </row>
    <row r="11" spans="2:16" x14ac:dyDescent="0.2">
      <c r="B11" s="592" t="s">
        <v>141</v>
      </c>
      <c r="E11" s="593">
        <v>0.42</v>
      </c>
      <c r="F11" s="594">
        <v>6444</v>
      </c>
      <c r="G11" s="594">
        <v>6444</v>
      </c>
      <c r="I11" s="592"/>
      <c r="L11" s="593"/>
      <c r="M11" s="594"/>
      <c r="N11" s="594"/>
      <c r="O11" s="589"/>
    </row>
    <row r="12" spans="2:16" x14ac:dyDescent="0.2">
      <c r="B12" s="592" t="s">
        <v>142</v>
      </c>
      <c r="E12" s="593">
        <v>0.42</v>
      </c>
      <c r="F12" s="594">
        <v>6444</v>
      </c>
      <c r="G12" s="594">
        <v>6444</v>
      </c>
      <c r="I12" s="585" t="s">
        <v>524</v>
      </c>
      <c r="L12" s="595"/>
      <c r="M12" s="588">
        <f>-'[4]CAPITAL 2024 BUDGET'!G30</f>
        <v>16124.029999999999</v>
      </c>
      <c r="N12" s="588">
        <f>-'[4]MAJOR 2024 BUDGET'!G16</f>
        <v>-21544</v>
      </c>
      <c r="O12" s="589">
        <f>SUM(M12:N12)</f>
        <v>-5419.9700000000012</v>
      </c>
    </row>
    <row r="13" spans="2:16" ht="13.5" thickBot="1" x14ac:dyDescent="0.25">
      <c r="B13" s="592" t="s">
        <v>143</v>
      </c>
      <c r="E13" s="593">
        <v>0.42</v>
      </c>
      <c r="F13" s="594">
        <v>6444</v>
      </c>
      <c r="G13" s="594">
        <v>6444</v>
      </c>
      <c r="I13" s="592"/>
      <c r="L13" s="593"/>
      <c r="M13" s="594"/>
      <c r="N13" s="591"/>
      <c r="O13" s="591"/>
    </row>
    <row r="14" spans="2:16" ht="14.25" thickTop="1" thickBot="1" x14ac:dyDescent="0.25">
      <c r="B14" s="592" t="s">
        <v>144</v>
      </c>
      <c r="E14" s="593">
        <v>0.42</v>
      </c>
      <c r="F14" s="594">
        <v>6444</v>
      </c>
      <c r="G14" s="594">
        <v>6444</v>
      </c>
      <c r="I14" s="596" t="s">
        <v>574</v>
      </c>
      <c r="J14" s="596"/>
      <c r="K14" s="596"/>
      <c r="L14" s="596"/>
      <c r="M14" s="597">
        <f>SUM(M8:M12)</f>
        <v>104894.64999999997</v>
      </c>
      <c r="N14" s="597">
        <f>SUM(N8:N12)</f>
        <v>1062266.456</v>
      </c>
      <c r="O14" s="597">
        <f>SUM(M14:N14)</f>
        <v>1167161.1059999999</v>
      </c>
      <c r="P14" s="598"/>
    </row>
    <row r="15" spans="2:16" ht="13.5" thickTop="1" x14ac:dyDescent="0.2">
      <c r="B15" s="592" t="s">
        <v>145</v>
      </c>
      <c r="E15" s="593">
        <v>0.42</v>
      </c>
      <c r="F15" s="594">
        <v>6444</v>
      </c>
      <c r="G15" s="594">
        <v>6444</v>
      </c>
      <c r="I15" s="585"/>
      <c r="J15" s="658"/>
      <c r="K15" s="658"/>
      <c r="L15" s="659"/>
      <c r="M15" s="660"/>
      <c r="N15" s="661"/>
      <c r="O15" s="661"/>
      <c r="P15" s="658"/>
    </row>
    <row r="16" spans="2:16" ht="15" x14ac:dyDescent="0.25">
      <c r="B16" s="592"/>
      <c r="E16" s="593"/>
      <c r="F16" s="594"/>
      <c r="G16" s="594"/>
      <c r="I16" s="604" t="s">
        <v>525</v>
      </c>
      <c r="J16" s="662"/>
      <c r="K16" s="662"/>
      <c r="L16" s="659"/>
      <c r="M16" s="663">
        <f>16457*9</f>
        <v>148113</v>
      </c>
      <c r="N16" s="663">
        <f>27431*9</f>
        <v>246879</v>
      </c>
      <c r="O16" s="663">
        <f>SUM(M16:N16)</f>
        <v>394992</v>
      </c>
      <c r="P16" s="658"/>
    </row>
    <row r="17" spans="2:16" x14ac:dyDescent="0.2">
      <c r="B17" s="592"/>
      <c r="E17" s="593"/>
      <c r="F17" s="594"/>
      <c r="G17" s="594"/>
      <c r="I17" s="585"/>
      <c r="J17" s="658"/>
      <c r="K17" s="658"/>
      <c r="L17" s="659"/>
      <c r="M17" s="660"/>
      <c r="N17" s="661"/>
      <c r="O17" s="661"/>
      <c r="P17" s="658"/>
    </row>
    <row r="18" spans="2:16" x14ac:dyDescent="0.2">
      <c r="I18" s="604" t="s">
        <v>526</v>
      </c>
      <c r="J18" s="658"/>
      <c r="K18" s="658"/>
      <c r="L18" s="658"/>
      <c r="M18" s="663">
        <f>-'[4]CAPITAL 2024 BUDGET'!I30</f>
        <v>-238424.03</v>
      </c>
      <c r="N18" s="663">
        <f>-'[4]MAJOR 2024 BUDGET'!I16</f>
        <v>-310956</v>
      </c>
      <c r="O18" s="663">
        <f>SUM(M18:N18)</f>
        <v>-549380.03</v>
      </c>
      <c r="P18" s="658"/>
    </row>
    <row r="19" spans="2:16" ht="13.5" thickBot="1" x14ac:dyDescent="0.25">
      <c r="I19" s="658"/>
      <c r="J19" s="658"/>
      <c r="K19" s="658"/>
      <c r="L19" s="658"/>
      <c r="M19" s="661"/>
      <c r="N19" s="661"/>
      <c r="O19" s="663"/>
      <c r="P19" s="658"/>
    </row>
    <row r="20" spans="2:16" ht="14.25" thickTop="1" thickBot="1" x14ac:dyDescent="0.25">
      <c r="I20" s="664" t="s">
        <v>527</v>
      </c>
      <c r="J20" s="665"/>
      <c r="K20" s="665"/>
      <c r="L20" s="665"/>
      <c r="M20" s="666">
        <f>SUM(M14:M18)</f>
        <v>14583.619999999966</v>
      </c>
      <c r="N20" s="666">
        <f t="shared" ref="N20:O20" si="0">SUM(N14:N18)</f>
        <v>998189.45600000001</v>
      </c>
      <c r="O20" s="666">
        <f t="shared" si="0"/>
        <v>1012773.0759999999</v>
      </c>
      <c r="P20" s="658"/>
    </row>
    <row r="21" spans="2:16" ht="13.5" thickTop="1" x14ac:dyDescent="0.2">
      <c r="I21" s="658"/>
      <c r="J21" s="658"/>
      <c r="K21" s="658"/>
      <c r="L21" s="658"/>
      <c r="M21" s="661"/>
      <c r="N21" s="661"/>
      <c r="O21" s="658"/>
      <c r="P21" s="658"/>
    </row>
    <row r="22" spans="2:16" x14ac:dyDescent="0.2">
      <c r="I22" s="658"/>
      <c r="J22" s="658"/>
      <c r="K22" s="658"/>
      <c r="L22" s="658"/>
      <c r="M22" s="658"/>
      <c r="N22" s="658"/>
      <c r="O22" s="658"/>
      <c r="P22" s="658"/>
    </row>
    <row r="23" spans="2:16" x14ac:dyDescent="0.2">
      <c r="M23" s="591"/>
      <c r="O23" s="591"/>
    </row>
    <row r="24" spans="2:16" x14ac:dyDescent="0.2">
      <c r="M24" s="591"/>
      <c r="N24" s="591"/>
      <c r="O24" s="591"/>
    </row>
    <row r="25" spans="2:16" x14ac:dyDescent="0.2">
      <c r="M25" s="591"/>
      <c r="N25" s="591"/>
      <c r="O25" s="591"/>
    </row>
    <row r="26" spans="2:16" x14ac:dyDescent="0.2">
      <c r="M26" s="591"/>
      <c r="N26" s="591"/>
      <c r="O26" s="591"/>
    </row>
    <row r="40" spans="15:16" ht="18" x14ac:dyDescent="0.25">
      <c r="O40" s="599"/>
      <c r="P40" s="600"/>
    </row>
  </sheetData>
  <mergeCells count="1">
    <mergeCell ref="B6:G6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127D4-0F64-40A6-967E-A6C04E68A6EA}">
  <dimension ref="B2:E28"/>
  <sheetViews>
    <sheetView zoomScaleNormal="100" zoomScaleSheetLayoutView="100" workbookViewId="0">
      <selection activeCell="H19" sqref="H19"/>
    </sheetView>
  </sheetViews>
  <sheetFormatPr defaultRowHeight="15" x14ac:dyDescent="0.25"/>
  <cols>
    <col min="2" max="2" width="46.140625" customWidth="1"/>
    <col min="3" max="3" width="12.7109375" customWidth="1"/>
  </cols>
  <sheetData>
    <row r="2" spans="2:5" x14ac:dyDescent="0.25">
      <c r="B2" s="426" t="s">
        <v>226</v>
      </c>
      <c r="C2" s="234"/>
    </row>
    <row r="3" spans="2:5" x14ac:dyDescent="0.25">
      <c r="B3" s="234"/>
      <c r="C3" s="234"/>
    </row>
    <row r="4" spans="2:5" x14ac:dyDescent="0.25">
      <c r="B4" s="427" t="s">
        <v>528</v>
      </c>
      <c r="C4" s="234"/>
    </row>
    <row r="5" spans="2:5" x14ac:dyDescent="0.25">
      <c r="B5" s="234"/>
      <c r="C5" s="234"/>
    </row>
    <row r="6" spans="2:5" x14ac:dyDescent="0.25">
      <c r="B6" s="234"/>
      <c r="C6" s="234"/>
    </row>
    <row r="7" spans="2:5" x14ac:dyDescent="0.25">
      <c r="B7" s="234" t="s">
        <v>227</v>
      </c>
      <c r="C7" s="424">
        <v>1167161</v>
      </c>
    </row>
    <row r="8" spans="2:5" x14ac:dyDescent="0.25">
      <c r="B8" s="428" t="s">
        <v>228</v>
      </c>
      <c r="C8" s="429">
        <v>-681398.19</v>
      </c>
      <c r="E8" s="667"/>
    </row>
    <row r="9" spans="2:5" x14ac:dyDescent="0.25">
      <c r="B9" s="430" t="s">
        <v>229</v>
      </c>
      <c r="C9" s="431">
        <f>SUM(C7:C8)</f>
        <v>485762.81000000006</v>
      </c>
    </row>
    <row r="10" spans="2:5" x14ac:dyDescent="0.25">
      <c r="B10" s="234"/>
      <c r="C10" s="424"/>
    </row>
    <row r="11" spans="2:5" x14ac:dyDescent="0.25">
      <c r="B11" s="234" t="s">
        <v>230</v>
      </c>
      <c r="C11" s="424">
        <v>-412176</v>
      </c>
      <c r="E11" s="667"/>
    </row>
    <row r="12" spans="2:5" x14ac:dyDescent="0.25">
      <c r="B12" s="234" t="s">
        <v>529</v>
      </c>
      <c r="C12" s="424">
        <v>0</v>
      </c>
      <c r="E12" s="667"/>
    </row>
    <row r="13" spans="2:5" x14ac:dyDescent="0.25">
      <c r="B13" s="234" t="s">
        <v>231</v>
      </c>
      <c r="C13" s="424">
        <v>70108</v>
      </c>
      <c r="E13" s="667"/>
    </row>
    <row r="14" spans="2:5" x14ac:dyDescent="0.25">
      <c r="B14" s="428" t="s">
        <v>232</v>
      </c>
      <c r="C14" s="429">
        <f>31881</f>
        <v>31881</v>
      </c>
      <c r="E14" s="667"/>
    </row>
    <row r="15" spans="2:5" x14ac:dyDescent="0.25">
      <c r="B15" s="430" t="s">
        <v>233</v>
      </c>
      <c r="C15" s="431">
        <f>SUM(C11:C14)</f>
        <v>-310187</v>
      </c>
    </row>
    <row r="16" spans="2:5" ht="15.75" thickBot="1" x14ac:dyDescent="0.3">
      <c r="B16" s="234"/>
      <c r="C16" s="424"/>
    </row>
    <row r="17" spans="2:4" ht="15.75" thickTop="1" x14ac:dyDescent="0.25">
      <c r="B17" s="432" t="s">
        <v>234</v>
      </c>
      <c r="C17" s="433">
        <f>C9+C15</f>
        <v>175575.81000000006</v>
      </c>
    </row>
    <row r="18" spans="2:4" ht="15.75" thickBot="1" x14ac:dyDescent="0.3">
      <c r="B18" s="434" t="s">
        <v>235</v>
      </c>
      <c r="C18" s="435"/>
      <c r="D18" t="s">
        <v>236</v>
      </c>
    </row>
    <row r="19" spans="2:4" ht="15.75" thickTop="1" x14ac:dyDescent="0.25">
      <c r="B19" s="234"/>
      <c r="C19" s="424"/>
    </row>
    <row r="20" spans="2:4" x14ac:dyDescent="0.25">
      <c r="B20" s="234"/>
      <c r="C20" s="424"/>
    </row>
    <row r="21" spans="2:4" x14ac:dyDescent="0.25">
      <c r="B21" s="234"/>
      <c r="C21" s="424"/>
    </row>
    <row r="22" spans="2:4" x14ac:dyDescent="0.25">
      <c r="B22" s="234"/>
      <c r="C22" s="424"/>
    </row>
    <row r="23" spans="2:4" x14ac:dyDescent="0.25">
      <c r="C23" s="436"/>
    </row>
    <row r="24" spans="2:4" x14ac:dyDescent="0.25">
      <c r="C24" s="402"/>
    </row>
    <row r="25" spans="2:4" x14ac:dyDescent="0.25">
      <c r="C25" s="402"/>
    </row>
    <row r="26" spans="2:4" x14ac:dyDescent="0.25">
      <c r="C26" s="402"/>
    </row>
    <row r="27" spans="2:4" x14ac:dyDescent="0.25">
      <c r="C27" s="402"/>
    </row>
    <row r="28" spans="2:4" x14ac:dyDescent="0.25">
      <c r="C28" s="402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5D010-45E3-4867-A809-FE0ABB51BF58}">
  <dimension ref="B2:K12"/>
  <sheetViews>
    <sheetView zoomScale="120" zoomScaleNormal="120" workbookViewId="0">
      <selection activeCell="F14" sqref="F14"/>
    </sheetView>
  </sheetViews>
  <sheetFormatPr defaultColWidth="9.140625" defaultRowHeight="15" x14ac:dyDescent="0.25"/>
  <cols>
    <col min="1" max="1" width="1.7109375" style="393" customWidth="1"/>
    <col min="2" max="2" width="36.5703125" style="393" customWidth="1"/>
    <col min="3" max="4" width="12.7109375" style="393" customWidth="1"/>
    <col min="5" max="5" width="6.42578125" style="393" customWidth="1"/>
    <col min="6" max="7" width="11.7109375" style="393" customWidth="1"/>
    <col min="8" max="8" width="7.42578125" style="393" customWidth="1"/>
    <col min="9" max="9" width="3.7109375" style="393" customWidth="1"/>
    <col min="10" max="11" width="10.7109375" style="393" customWidth="1"/>
    <col min="12" max="12" width="11.42578125" style="393" bestFit="1" customWidth="1"/>
    <col min="13" max="13" width="11.140625" style="393" customWidth="1"/>
    <col min="14" max="16384" width="9.140625" style="393"/>
  </cols>
  <sheetData>
    <row r="2" spans="2:11" ht="15.75" thickBot="1" x14ac:dyDescent="0.3">
      <c r="B2" s="391" t="s">
        <v>219</v>
      </c>
      <c r="C2" s="391"/>
      <c r="D2" s="391"/>
      <c r="E2" s="391"/>
      <c r="F2" s="392"/>
      <c r="G2" s="392"/>
      <c r="H2" s="392"/>
      <c r="I2" s="392"/>
      <c r="J2" s="392"/>
    </row>
    <row r="3" spans="2:11" ht="15.75" thickTop="1" x14ac:dyDescent="0.25">
      <c r="E3" s="394"/>
      <c r="F3" s="395"/>
      <c r="G3" s="395"/>
      <c r="H3" s="395"/>
      <c r="I3" s="395"/>
    </row>
    <row r="4" spans="2:11" x14ac:dyDescent="0.25">
      <c r="C4" s="691"/>
      <c r="D4" s="691"/>
      <c r="E4" s="396"/>
      <c r="F4" s="691"/>
      <c r="G4" s="691"/>
      <c r="H4" s="691"/>
      <c r="I4" s="396"/>
      <c r="J4" s="690"/>
      <c r="K4" s="690"/>
    </row>
    <row r="5" spans="2:11" x14ac:dyDescent="0.25">
      <c r="B5" s="397" t="s">
        <v>220</v>
      </c>
      <c r="C5" s="398">
        <v>2023</v>
      </c>
      <c r="D5" s="398">
        <v>2024</v>
      </c>
      <c r="E5" s="399"/>
      <c r="F5" s="398">
        <v>2023</v>
      </c>
      <c r="G5" s="398">
        <v>2024</v>
      </c>
      <c r="H5" s="679" t="s">
        <v>224</v>
      </c>
      <c r="I5" s="396"/>
      <c r="J5" s="398">
        <v>2023</v>
      </c>
      <c r="K5" s="398">
        <v>2024</v>
      </c>
    </row>
    <row r="6" spans="2:11" x14ac:dyDescent="0.25">
      <c r="B6" s="400" t="s">
        <v>575</v>
      </c>
      <c r="C6" s="400">
        <v>81252000</v>
      </c>
      <c r="D6" s="400">
        <v>81252000</v>
      </c>
      <c r="E6" s="401"/>
      <c r="F6" s="400">
        <v>897520</v>
      </c>
      <c r="G6" s="400">
        <v>957758</v>
      </c>
      <c r="H6" s="680">
        <f>(G6/F6)-1</f>
        <v>6.7116053124164354E-2</v>
      </c>
      <c r="I6" s="402"/>
      <c r="J6" s="403">
        <f>F6/C6</f>
        <v>1.1046128095308423E-2</v>
      </c>
      <c r="K6" s="403">
        <f>G6/D6</f>
        <v>1.1787500615369468E-2</v>
      </c>
    </row>
    <row r="7" spans="2:11" x14ac:dyDescent="0.25">
      <c r="B7" s="400" t="s">
        <v>221</v>
      </c>
      <c r="C7" s="400"/>
      <c r="D7" s="400"/>
      <c r="E7" s="401"/>
      <c r="F7" s="400">
        <v>203599</v>
      </c>
      <c r="G7" s="400">
        <v>204560</v>
      </c>
      <c r="H7" s="680">
        <f t="shared" ref="H7:H9" si="0">(G7/F7)-1</f>
        <v>4.7200624757488541E-3</v>
      </c>
      <c r="I7" s="402"/>
      <c r="J7" s="403"/>
    </row>
    <row r="8" spans="2:11" x14ac:dyDescent="0.25">
      <c r="B8" s="400" t="s">
        <v>222</v>
      </c>
      <c r="C8" s="400"/>
      <c r="D8" s="400"/>
      <c r="E8" s="401"/>
      <c r="F8" s="400">
        <v>6150</v>
      </c>
      <c r="G8" s="400">
        <v>6898</v>
      </c>
      <c r="H8" s="680">
        <f t="shared" si="0"/>
        <v>0.12162601626016256</v>
      </c>
      <c r="I8" s="402"/>
      <c r="J8" s="403"/>
    </row>
    <row r="9" spans="2:11" x14ac:dyDescent="0.25">
      <c r="B9" s="404" t="s">
        <v>576</v>
      </c>
      <c r="C9" s="404"/>
      <c r="D9" s="404"/>
      <c r="E9" s="394"/>
      <c r="F9" s="404">
        <v>29803</v>
      </c>
      <c r="G9" s="404">
        <v>33012</v>
      </c>
      <c r="H9" s="681">
        <f t="shared" si="0"/>
        <v>0.10767372412173271</v>
      </c>
      <c r="I9" s="402"/>
      <c r="J9" s="405"/>
      <c r="K9" s="404"/>
    </row>
    <row r="10" spans="2:11" x14ac:dyDescent="0.25">
      <c r="B10" s="406" t="s">
        <v>223</v>
      </c>
      <c r="C10" s="406">
        <f>SUM(C6:C9)</f>
        <v>81252000</v>
      </c>
      <c r="D10" s="406">
        <f>SUM(D6:D9)</f>
        <v>81252000</v>
      </c>
      <c r="E10" s="401"/>
      <c r="F10" s="406">
        <f>SUM(F6:F9)</f>
        <v>1137072</v>
      </c>
      <c r="G10" s="406">
        <f>SUM(G6:G9)</f>
        <v>1202228</v>
      </c>
      <c r="H10" s="680">
        <f>G11/F10</f>
        <v>5.7301560499247187E-2</v>
      </c>
      <c r="I10" s="407"/>
      <c r="J10" s="407"/>
    </row>
    <row r="11" spans="2:11" x14ac:dyDescent="0.25">
      <c r="B11" s="406"/>
      <c r="C11" s="406"/>
      <c r="D11" s="406"/>
      <c r="E11" s="401"/>
      <c r="F11" s="408" t="s">
        <v>224</v>
      </c>
      <c r="G11" s="676">
        <f>G10-F10</f>
        <v>65156</v>
      </c>
      <c r="H11" s="401"/>
    </row>
    <row r="12" spans="2:11" x14ac:dyDescent="0.25">
      <c r="J12" s="409"/>
    </row>
  </sheetData>
  <mergeCells count="3">
    <mergeCell ref="J4:K4"/>
    <mergeCell ref="C4:D4"/>
    <mergeCell ref="F4:H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24BC7-EA12-4E96-A8EA-1E326F06C8AF}">
  <dimension ref="B2:FJ87"/>
  <sheetViews>
    <sheetView topLeftCell="A20" workbookViewId="0">
      <selection activeCell="O39" sqref="O39"/>
    </sheetView>
  </sheetViews>
  <sheetFormatPr defaultRowHeight="12.75" x14ac:dyDescent="0.2"/>
  <cols>
    <col min="1" max="1" width="3.5703125" style="476" customWidth="1"/>
    <col min="2" max="2" width="9.140625" style="476"/>
    <col min="3" max="3" width="13.42578125" style="476" customWidth="1"/>
    <col min="4" max="4" width="12.42578125" style="476" customWidth="1"/>
    <col min="5" max="5" width="14" style="476" customWidth="1"/>
    <col min="6" max="6" width="13.140625" style="476" customWidth="1"/>
    <col min="7" max="7" width="13.5703125" style="476" customWidth="1"/>
    <col min="8" max="8" width="13.140625" style="476" customWidth="1"/>
    <col min="9" max="9" width="13.28515625" style="476" customWidth="1"/>
    <col min="10" max="10" width="12.42578125" style="476" customWidth="1"/>
    <col min="11" max="11" width="12.85546875" style="476" customWidth="1"/>
    <col min="12" max="12" width="12.5703125" style="476" customWidth="1"/>
    <col min="13" max="14" width="13.28515625" style="476" customWidth="1"/>
    <col min="15" max="15" width="10" style="476" bestFit="1" customWidth="1"/>
    <col min="16" max="22" width="9.140625" style="476"/>
    <col min="23" max="23" width="9.5703125" style="476" bestFit="1" customWidth="1"/>
    <col min="24" max="106" width="9.140625" style="476"/>
    <col min="107" max="107" width="9.5703125" style="476" bestFit="1" customWidth="1"/>
    <col min="108" max="117" width="9.7109375" style="476" customWidth="1"/>
    <col min="118" max="118" width="11.140625" style="476" customWidth="1"/>
    <col min="119" max="119" width="9.5703125" style="476" bestFit="1" customWidth="1"/>
    <col min="120" max="120" width="11" style="476" customWidth="1"/>
    <col min="121" max="144" width="9.5703125" style="476" bestFit="1" customWidth="1"/>
    <col min="145" max="150" width="9.7109375" style="476" customWidth="1"/>
    <col min="151" max="151" width="10.85546875" style="476" customWidth="1"/>
    <col min="152" max="152" width="11" style="476" customWidth="1"/>
    <col min="153" max="166" width="9.5703125" style="476" bestFit="1" customWidth="1"/>
    <col min="167" max="256" width="9.140625" style="476"/>
    <col min="257" max="257" width="3.5703125" style="476" customWidth="1"/>
    <col min="258" max="258" width="9.140625" style="476"/>
    <col min="259" max="259" width="13.42578125" style="476" customWidth="1"/>
    <col min="260" max="260" width="12.42578125" style="476" customWidth="1"/>
    <col min="261" max="261" width="14" style="476" customWidth="1"/>
    <col min="262" max="262" width="13.140625" style="476" customWidth="1"/>
    <col min="263" max="263" width="13.5703125" style="476" customWidth="1"/>
    <col min="264" max="264" width="13.140625" style="476" customWidth="1"/>
    <col min="265" max="265" width="13.28515625" style="476" customWidth="1"/>
    <col min="266" max="266" width="12.42578125" style="476" customWidth="1"/>
    <col min="267" max="267" width="12.85546875" style="476" customWidth="1"/>
    <col min="268" max="268" width="12.5703125" style="476" customWidth="1"/>
    <col min="269" max="270" width="13.28515625" style="476" customWidth="1"/>
    <col min="271" max="271" width="10" style="476" bestFit="1" customWidth="1"/>
    <col min="272" max="278" width="9.140625" style="476"/>
    <col min="279" max="279" width="9.5703125" style="476" bestFit="1" customWidth="1"/>
    <col min="280" max="362" width="9.140625" style="476"/>
    <col min="363" max="363" width="9.5703125" style="476" bestFit="1" customWidth="1"/>
    <col min="364" max="373" width="9.7109375" style="476" customWidth="1"/>
    <col min="374" max="374" width="11.140625" style="476" customWidth="1"/>
    <col min="375" max="375" width="9.5703125" style="476" bestFit="1" customWidth="1"/>
    <col min="376" max="376" width="11" style="476" customWidth="1"/>
    <col min="377" max="400" width="9.5703125" style="476" bestFit="1" customWidth="1"/>
    <col min="401" max="406" width="9.7109375" style="476" customWidth="1"/>
    <col min="407" max="407" width="10.85546875" style="476" customWidth="1"/>
    <col min="408" max="408" width="11" style="476" customWidth="1"/>
    <col min="409" max="422" width="9.5703125" style="476" bestFit="1" customWidth="1"/>
    <col min="423" max="512" width="9.140625" style="476"/>
    <col min="513" max="513" width="3.5703125" style="476" customWidth="1"/>
    <col min="514" max="514" width="9.140625" style="476"/>
    <col min="515" max="515" width="13.42578125" style="476" customWidth="1"/>
    <col min="516" max="516" width="12.42578125" style="476" customWidth="1"/>
    <col min="517" max="517" width="14" style="476" customWidth="1"/>
    <col min="518" max="518" width="13.140625" style="476" customWidth="1"/>
    <col min="519" max="519" width="13.5703125" style="476" customWidth="1"/>
    <col min="520" max="520" width="13.140625" style="476" customWidth="1"/>
    <col min="521" max="521" width="13.28515625" style="476" customWidth="1"/>
    <col min="522" max="522" width="12.42578125" style="476" customWidth="1"/>
    <col min="523" max="523" width="12.85546875" style="476" customWidth="1"/>
    <col min="524" max="524" width="12.5703125" style="476" customWidth="1"/>
    <col min="525" max="526" width="13.28515625" style="476" customWidth="1"/>
    <col min="527" max="527" width="10" style="476" bestFit="1" customWidth="1"/>
    <col min="528" max="534" width="9.140625" style="476"/>
    <col min="535" max="535" width="9.5703125" style="476" bestFit="1" customWidth="1"/>
    <col min="536" max="618" width="9.140625" style="476"/>
    <col min="619" max="619" width="9.5703125" style="476" bestFit="1" customWidth="1"/>
    <col min="620" max="629" width="9.7109375" style="476" customWidth="1"/>
    <col min="630" max="630" width="11.140625" style="476" customWidth="1"/>
    <col min="631" max="631" width="9.5703125" style="476" bestFit="1" customWidth="1"/>
    <col min="632" max="632" width="11" style="476" customWidth="1"/>
    <col min="633" max="656" width="9.5703125" style="476" bestFit="1" customWidth="1"/>
    <col min="657" max="662" width="9.7109375" style="476" customWidth="1"/>
    <col min="663" max="663" width="10.85546875" style="476" customWidth="1"/>
    <col min="664" max="664" width="11" style="476" customWidth="1"/>
    <col min="665" max="678" width="9.5703125" style="476" bestFit="1" customWidth="1"/>
    <col min="679" max="768" width="9.140625" style="476"/>
    <col min="769" max="769" width="3.5703125" style="476" customWidth="1"/>
    <col min="770" max="770" width="9.140625" style="476"/>
    <col min="771" max="771" width="13.42578125" style="476" customWidth="1"/>
    <col min="772" max="772" width="12.42578125" style="476" customWidth="1"/>
    <col min="773" max="773" width="14" style="476" customWidth="1"/>
    <col min="774" max="774" width="13.140625" style="476" customWidth="1"/>
    <col min="775" max="775" width="13.5703125" style="476" customWidth="1"/>
    <col min="776" max="776" width="13.140625" style="476" customWidth="1"/>
    <col min="777" max="777" width="13.28515625" style="476" customWidth="1"/>
    <col min="778" max="778" width="12.42578125" style="476" customWidth="1"/>
    <col min="779" max="779" width="12.85546875" style="476" customWidth="1"/>
    <col min="780" max="780" width="12.5703125" style="476" customWidth="1"/>
    <col min="781" max="782" width="13.28515625" style="476" customWidth="1"/>
    <col min="783" max="783" width="10" style="476" bestFit="1" customWidth="1"/>
    <col min="784" max="790" width="9.140625" style="476"/>
    <col min="791" max="791" width="9.5703125" style="476" bestFit="1" customWidth="1"/>
    <col min="792" max="874" width="9.140625" style="476"/>
    <col min="875" max="875" width="9.5703125" style="476" bestFit="1" customWidth="1"/>
    <col min="876" max="885" width="9.7109375" style="476" customWidth="1"/>
    <col min="886" max="886" width="11.140625" style="476" customWidth="1"/>
    <col min="887" max="887" width="9.5703125" style="476" bestFit="1" customWidth="1"/>
    <col min="888" max="888" width="11" style="476" customWidth="1"/>
    <col min="889" max="912" width="9.5703125" style="476" bestFit="1" customWidth="1"/>
    <col min="913" max="918" width="9.7109375" style="476" customWidth="1"/>
    <col min="919" max="919" width="10.85546875" style="476" customWidth="1"/>
    <col min="920" max="920" width="11" style="476" customWidth="1"/>
    <col min="921" max="934" width="9.5703125" style="476" bestFit="1" customWidth="1"/>
    <col min="935" max="1024" width="9.140625" style="476"/>
    <col min="1025" max="1025" width="3.5703125" style="476" customWidth="1"/>
    <col min="1026" max="1026" width="9.140625" style="476"/>
    <col min="1027" max="1027" width="13.42578125" style="476" customWidth="1"/>
    <col min="1028" max="1028" width="12.42578125" style="476" customWidth="1"/>
    <col min="1029" max="1029" width="14" style="476" customWidth="1"/>
    <col min="1030" max="1030" width="13.140625" style="476" customWidth="1"/>
    <col min="1031" max="1031" width="13.5703125" style="476" customWidth="1"/>
    <col min="1032" max="1032" width="13.140625" style="476" customWidth="1"/>
    <col min="1033" max="1033" width="13.28515625" style="476" customWidth="1"/>
    <col min="1034" max="1034" width="12.42578125" style="476" customWidth="1"/>
    <col min="1035" max="1035" width="12.85546875" style="476" customWidth="1"/>
    <col min="1036" max="1036" width="12.5703125" style="476" customWidth="1"/>
    <col min="1037" max="1038" width="13.28515625" style="476" customWidth="1"/>
    <col min="1039" max="1039" width="10" style="476" bestFit="1" customWidth="1"/>
    <col min="1040" max="1046" width="9.140625" style="476"/>
    <col min="1047" max="1047" width="9.5703125" style="476" bestFit="1" customWidth="1"/>
    <col min="1048" max="1130" width="9.140625" style="476"/>
    <col min="1131" max="1131" width="9.5703125" style="476" bestFit="1" customWidth="1"/>
    <col min="1132" max="1141" width="9.7109375" style="476" customWidth="1"/>
    <col min="1142" max="1142" width="11.140625" style="476" customWidth="1"/>
    <col min="1143" max="1143" width="9.5703125" style="476" bestFit="1" customWidth="1"/>
    <col min="1144" max="1144" width="11" style="476" customWidth="1"/>
    <col min="1145" max="1168" width="9.5703125" style="476" bestFit="1" customWidth="1"/>
    <col min="1169" max="1174" width="9.7109375" style="476" customWidth="1"/>
    <col min="1175" max="1175" width="10.85546875" style="476" customWidth="1"/>
    <col min="1176" max="1176" width="11" style="476" customWidth="1"/>
    <col min="1177" max="1190" width="9.5703125" style="476" bestFit="1" customWidth="1"/>
    <col min="1191" max="1280" width="9.140625" style="476"/>
    <col min="1281" max="1281" width="3.5703125" style="476" customWidth="1"/>
    <col min="1282" max="1282" width="9.140625" style="476"/>
    <col min="1283" max="1283" width="13.42578125" style="476" customWidth="1"/>
    <col min="1284" max="1284" width="12.42578125" style="476" customWidth="1"/>
    <col min="1285" max="1285" width="14" style="476" customWidth="1"/>
    <col min="1286" max="1286" width="13.140625" style="476" customWidth="1"/>
    <col min="1287" max="1287" width="13.5703125" style="476" customWidth="1"/>
    <col min="1288" max="1288" width="13.140625" style="476" customWidth="1"/>
    <col min="1289" max="1289" width="13.28515625" style="476" customWidth="1"/>
    <col min="1290" max="1290" width="12.42578125" style="476" customWidth="1"/>
    <col min="1291" max="1291" width="12.85546875" style="476" customWidth="1"/>
    <col min="1292" max="1292" width="12.5703125" style="476" customWidth="1"/>
    <col min="1293" max="1294" width="13.28515625" style="476" customWidth="1"/>
    <col min="1295" max="1295" width="10" style="476" bestFit="1" customWidth="1"/>
    <col min="1296" max="1302" width="9.140625" style="476"/>
    <col min="1303" max="1303" width="9.5703125" style="476" bestFit="1" customWidth="1"/>
    <col min="1304" max="1386" width="9.140625" style="476"/>
    <col min="1387" max="1387" width="9.5703125" style="476" bestFit="1" customWidth="1"/>
    <col min="1388" max="1397" width="9.7109375" style="476" customWidth="1"/>
    <col min="1398" max="1398" width="11.140625" style="476" customWidth="1"/>
    <col min="1399" max="1399" width="9.5703125" style="476" bestFit="1" customWidth="1"/>
    <col min="1400" max="1400" width="11" style="476" customWidth="1"/>
    <col min="1401" max="1424" width="9.5703125" style="476" bestFit="1" customWidth="1"/>
    <col min="1425" max="1430" width="9.7109375" style="476" customWidth="1"/>
    <col min="1431" max="1431" width="10.85546875" style="476" customWidth="1"/>
    <col min="1432" max="1432" width="11" style="476" customWidth="1"/>
    <col min="1433" max="1446" width="9.5703125" style="476" bestFit="1" customWidth="1"/>
    <col min="1447" max="1536" width="9.140625" style="476"/>
    <col min="1537" max="1537" width="3.5703125" style="476" customWidth="1"/>
    <col min="1538" max="1538" width="9.140625" style="476"/>
    <col min="1539" max="1539" width="13.42578125" style="476" customWidth="1"/>
    <col min="1540" max="1540" width="12.42578125" style="476" customWidth="1"/>
    <col min="1541" max="1541" width="14" style="476" customWidth="1"/>
    <col min="1542" max="1542" width="13.140625" style="476" customWidth="1"/>
    <col min="1543" max="1543" width="13.5703125" style="476" customWidth="1"/>
    <col min="1544" max="1544" width="13.140625" style="476" customWidth="1"/>
    <col min="1545" max="1545" width="13.28515625" style="476" customWidth="1"/>
    <col min="1546" max="1546" width="12.42578125" style="476" customWidth="1"/>
    <col min="1547" max="1547" width="12.85546875" style="476" customWidth="1"/>
    <col min="1548" max="1548" width="12.5703125" style="476" customWidth="1"/>
    <col min="1549" max="1550" width="13.28515625" style="476" customWidth="1"/>
    <col min="1551" max="1551" width="10" style="476" bestFit="1" customWidth="1"/>
    <col min="1552" max="1558" width="9.140625" style="476"/>
    <col min="1559" max="1559" width="9.5703125" style="476" bestFit="1" customWidth="1"/>
    <col min="1560" max="1642" width="9.140625" style="476"/>
    <col min="1643" max="1643" width="9.5703125" style="476" bestFit="1" customWidth="1"/>
    <col min="1644" max="1653" width="9.7109375" style="476" customWidth="1"/>
    <col min="1654" max="1654" width="11.140625" style="476" customWidth="1"/>
    <col min="1655" max="1655" width="9.5703125" style="476" bestFit="1" customWidth="1"/>
    <col min="1656" max="1656" width="11" style="476" customWidth="1"/>
    <col min="1657" max="1680" width="9.5703125" style="476" bestFit="1" customWidth="1"/>
    <col min="1681" max="1686" width="9.7109375" style="476" customWidth="1"/>
    <col min="1687" max="1687" width="10.85546875" style="476" customWidth="1"/>
    <col min="1688" max="1688" width="11" style="476" customWidth="1"/>
    <col min="1689" max="1702" width="9.5703125" style="476" bestFit="1" customWidth="1"/>
    <col min="1703" max="1792" width="9.140625" style="476"/>
    <col min="1793" max="1793" width="3.5703125" style="476" customWidth="1"/>
    <col min="1794" max="1794" width="9.140625" style="476"/>
    <col min="1795" max="1795" width="13.42578125" style="476" customWidth="1"/>
    <col min="1796" max="1796" width="12.42578125" style="476" customWidth="1"/>
    <col min="1797" max="1797" width="14" style="476" customWidth="1"/>
    <col min="1798" max="1798" width="13.140625" style="476" customWidth="1"/>
    <col min="1799" max="1799" width="13.5703125" style="476" customWidth="1"/>
    <col min="1800" max="1800" width="13.140625" style="476" customWidth="1"/>
    <col min="1801" max="1801" width="13.28515625" style="476" customWidth="1"/>
    <col min="1802" max="1802" width="12.42578125" style="476" customWidth="1"/>
    <col min="1803" max="1803" width="12.85546875" style="476" customWidth="1"/>
    <col min="1804" max="1804" width="12.5703125" style="476" customWidth="1"/>
    <col min="1805" max="1806" width="13.28515625" style="476" customWidth="1"/>
    <col min="1807" max="1807" width="10" style="476" bestFit="1" customWidth="1"/>
    <col min="1808" max="1814" width="9.140625" style="476"/>
    <col min="1815" max="1815" width="9.5703125" style="476" bestFit="1" customWidth="1"/>
    <col min="1816" max="1898" width="9.140625" style="476"/>
    <col min="1899" max="1899" width="9.5703125" style="476" bestFit="1" customWidth="1"/>
    <col min="1900" max="1909" width="9.7109375" style="476" customWidth="1"/>
    <col min="1910" max="1910" width="11.140625" style="476" customWidth="1"/>
    <col min="1911" max="1911" width="9.5703125" style="476" bestFit="1" customWidth="1"/>
    <col min="1912" max="1912" width="11" style="476" customWidth="1"/>
    <col min="1913" max="1936" width="9.5703125" style="476" bestFit="1" customWidth="1"/>
    <col min="1937" max="1942" width="9.7109375" style="476" customWidth="1"/>
    <col min="1943" max="1943" width="10.85546875" style="476" customWidth="1"/>
    <col min="1944" max="1944" width="11" style="476" customWidth="1"/>
    <col min="1945" max="1958" width="9.5703125" style="476" bestFit="1" customWidth="1"/>
    <col min="1959" max="2048" width="9.140625" style="476"/>
    <col min="2049" max="2049" width="3.5703125" style="476" customWidth="1"/>
    <col min="2050" max="2050" width="9.140625" style="476"/>
    <col min="2051" max="2051" width="13.42578125" style="476" customWidth="1"/>
    <col min="2052" max="2052" width="12.42578125" style="476" customWidth="1"/>
    <col min="2053" max="2053" width="14" style="476" customWidth="1"/>
    <col min="2054" max="2054" width="13.140625" style="476" customWidth="1"/>
    <col min="2055" max="2055" width="13.5703125" style="476" customWidth="1"/>
    <col min="2056" max="2056" width="13.140625" style="476" customWidth="1"/>
    <col min="2057" max="2057" width="13.28515625" style="476" customWidth="1"/>
    <col min="2058" max="2058" width="12.42578125" style="476" customWidth="1"/>
    <col min="2059" max="2059" width="12.85546875" style="476" customWidth="1"/>
    <col min="2060" max="2060" width="12.5703125" style="476" customWidth="1"/>
    <col min="2061" max="2062" width="13.28515625" style="476" customWidth="1"/>
    <col min="2063" max="2063" width="10" style="476" bestFit="1" customWidth="1"/>
    <col min="2064" max="2070" width="9.140625" style="476"/>
    <col min="2071" max="2071" width="9.5703125" style="476" bestFit="1" customWidth="1"/>
    <col min="2072" max="2154" width="9.140625" style="476"/>
    <col min="2155" max="2155" width="9.5703125" style="476" bestFit="1" customWidth="1"/>
    <col min="2156" max="2165" width="9.7109375" style="476" customWidth="1"/>
    <col min="2166" max="2166" width="11.140625" style="476" customWidth="1"/>
    <col min="2167" max="2167" width="9.5703125" style="476" bestFit="1" customWidth="1"/>
    <col min="2168" max="2168" width="11" style="476" customWidth="1"/>
    <col min="2169" max="2192" width="9.5703125" style="476" bestFit="1" customWidth="1"/>
    <col min="2193" max="2198" width="9.7109375" style="476" customWidth="1"/>
    <col min="2199" max="2199" width="10.85546875" style="476" customWidth="1"/>
    <col min="2200" max="2200" width="11" style="476" customWidth="1"/>
    <col min="2201" max="2214" width="9.5703125" style="476" bestFit="1" customWidth="1"/>
    <col min="2215" max="2304" width="9.140625" style="476"/>
    <col min="2305" max="2305" width="3.5703125" style="476" customWidth="1"/>
    <col min="2306" max="2306" width="9.140625" style="476"/>
    <col min="2307" max="2307" width="13.42578125" style="476" customWidth="1"/>
    <col min="2308" max="2308" width="12.42578125" style="476" customWidth="1"/>
    <col min="2309" max="2309" width="14" style="476" customWidth="1"/>
    <col min="2310" max="2310" width="13.140625" style="476" customWidth="1"/>
    <col min="2311" max="2311" width="13.5703125" style="476" customWidth="1"/>
    <col min="2312" max="2312" width="13.140625" style="476" customWidth="1"/>
    <col min="2313" max="2313" width="13.28515625" style="476" customWidth="1"/>
    <col min="2314" max="2314" width="12.42578125" style="476" customWidth="1"/>
    <col min="2315" max="2315" width="12.85546875" style="476" customWidth="1"/>
    <col min="2316" max="2316" width="12.5703125" style="476" customWidth="1"/>
    <col min="2317" max="2318" width="13.28515625" style="476" customWidth="1"/>
    <col min="2319" max="2319" width="10" style="476" bestFit="1" customWidth="1"/>
    <col min="2320" max="2326" width="9.140625" style="476"/>
    <col min="2327" max="2327" width="9.5703125" style="476" bestFit="1" customWidth="1"/>
    <col min="2328" max="2410" width="9.140625" style="476"/>
    <col min="2411" max="2411" width="9.5703125" style="476" bestFit="1" customWidth="1"/>
    <col min="2412" max="2421" width="9.7109375" style="476" customWidth="1"/>
    <col min="2422" max="2422" width="11.140625" style="476" customWidth="1"/>
    <col min="2423" max="2423" width="9.5703125" style="476" bestFit="1" customWidth="1"/>
    <col min="2424" max="2424" width="11" style="476" customWidth="1"/>
    <col min="2425" max="2448" width="9.5703125" style="476" bestFit="1" customWidth="1"/>
    <col min="2449" max="2454" width="9.7109375" style="476" customWidth="1"/>
    <col min="2455" max="2455" width="10.85546875" style="476" customWidth="1"/>
    <col min="2456" max="2456" width="11" style="476" customWidth="1"/>
    <col min="2457" max="2470" width="9.5703125" style="476" bestFit="1" customWidth="1"/>
    <col min="2471" max="2560" width="9.140625" style="476"/>
    <col min="2561" max="2561" width="3.5703125" style="476" customWidth="1"/>
    <col min="2562" max="2562" width="9.140625" style="476"/>
    <col min="2563" max="2563" width="13.42578125" style="476" customWidth="1"/>
    <col min="2564" max="2564" width="12.42578125" style="476" customWidth="1"/>
    <col min="2565" max="2565" width="14" style="476" customWidth="1"/>
    <col min="2566" max="2566" width="13.140625" style="476" customWidth="1"/>
    <col min="2567" max="2567" width="13.5703125" style="476" customWidth="1"/>
    <col min="2568" max="2568" width="13.140625" style="476" customWidth="1"/>
    <col min="2569" max="2569" width="13.28515625" style="476" customWidth="1"/>
    <col min="2570" max="2570" width="12.42578125" style="476" customWidth="1"/>
    <col min="2571" max="2571" width="12.85546875" style="476" customWidth="1"/>
    <col min="2572" max="2572" width="12.5703125" style="476" customWidth="1"/>
    <col min="2573" max="2574" width="13.28515625" style="476" customWidth="1"/>
    <col min="2575" max="2575" width="10" style="476" bestFit="1" customWidth="1"/>
    <col min="2576" max="2582" width="9.140625" style="476"/>
    <col min="2583" max="2583" width="9.5703125" style="476" bestFit="1" customWidth="1"/>
    <col min="2584" max="2666" width="9.140625" style="476"/>
    <col min="2667" max="2667" width="9.5703125" style="476" bestFit="1" customWidth="1"/>
    <col min="2668" max="2677" width="9.7109375" style="476" customWidth="1"/>
    <col min="2678" max="2678" width="11.140625" style="476" customWidth="1"/>
    <col min="2679" max="2679" width="9.5703125" style="476" bestFit="1" customWidth="1"/>
    <col min="2680" max="2680" width="11" style="476" customWidth="1"/>
    <col min="2681" max="2704" width="9.5703125" style="476" bestFit="1" customWidth="1"/>
    <col min="2705" max="2710" width="9.7109375" style="476" customWidth="1"/>
    <col min="2711" max="2711" width="10.85546875" style="476" customWidth="1"/>
    <col min="2712" max="2712" width="11" style="476" customWidth="1"/>
    <col min="2713" max="2726" width="9.5703125" style="476" bestFit="1" customWidth="1"/>
    <col min="2727" max="2816" width="9.140625" style="476"/>
    <col min="2817" max="2817" width="3.5703125" style="476" customWidth="1"/>
    <col min="2818" max="2818" width="9.140625" style="476"/>
    <col min="2819" max="2819" width="13.42578125" style="476" customWidth="1"/>
    <col min="2820" max="2820" width="12.42578125" style="476" customWidth="1"/>
    <col min="2821" max="2821" width="14" style="476" customWidth="1"/>
    <col min="2822" max="2822" width="13.140625" style="476" customWidth="1"/>
    <col min="2823" max="2823" width="13.5703125" style="476" customWidth="1"/>
    <col min="2824" max="2824" width="13.140625" style="476" customWidth="1"/>
    <col min="2825" max="2825" width="13.28515625" style="476" customWidth="1"/>
    <col min="2826" max="2826" width="12.42578125" style="476" customWidth="1"/>
    <col min="2827" max="2827" width="12.85546875" style="476" customWidth="1"/>
    <col min="2828" max="2828" width="12.5703125" style="476" customWidth="1"/>
    <col min="2829" max="2830" width="13.28515625" style="476" customWidth="1"/>
    <col min="2831" max="2831" width="10" style="476" bestFit="1" customWidth="1"/>
    <col min="2832" max="2838" width="9.140625" style="476"/>
    <col min="2839" max="2839" width="9.5703125" style="476" bestFit="1" customWidth="1"/>
    <col min="2840" max="2922" width="9.140625" style="476"/>
    <col min="2923" max="2923" width="9.5703125" style="476" bestFit="1" customWidth="1"/>
    <col min="2924" max="2933" width="9.7109375" style="476" customWidth="1"/>
    <col min="2934" max="2934" width="11.140625" style="476" customWidth="1"/>
    <col min="2935" max="2935" width="9.5703125" style="476" bestFit="1" customWidth="1"/>
    <col min="2936" max="2936" width="11" style="476" customWidth="1"/>
    <col min="2937" max="2960" width="9.5703125" style="476" bestFit="1" customWidth="1"/>
    <col min="2961" max="2966" width="9.7109375" style="476" customWidth="1"/>
    <col min="2967" max="2967" width="10.85546875" style="476" customWidth="1"/>
    <col min="2968" max="2968" width="11" style="476" customWidth="1"/>
    <col min="2969" max="2982" width="9.5703125" style="476" bestFit="1" customWidth="1"/>
    <col min="2983" max="3072" width="9.140625" style="476"/>
    <col min="3073" max="3073" width="3.5703125" style="476" customWidth="1"/>
    <col min="3074" max="3074" width="9.140625" style="476"/>
    <col min="3075" max="3075" width="13.42578125" style="476" customWidth="1"/>
    <col min="3076" max="3076" width="12.42578125" style="476" customWidth="1"/>
    <col min="3077" max="3077" width="14" style="476" customWidth="1"/>
    <col min="3078" max="3078" width="13.140625" style="476" customWidth="1"/>
    <col min="3079" max="3079" width="13.5703125" style="476" customWidth="1"/>
    <col min="3080" max="3080" width="13.140625" style="476" customWidth="1"/>
    <col min="3081" max="3081" width="13.28515625" style="476" customWidth="1"/>
    <col min="3082" max="3082" width="12.42578125" style="476" customWidth="1"/>
    <col min="3083" max="3083" width="12.85546875" style="476" customWidth="1"/>
    <col min="3084" max="3084" width="12.5703125" style="476" customWidth="1"/>
    <col min="3085" max="3086" width="13.28515625" style="476" customWidth="1"/>
    <col min="3087" max="3087" width="10" style="476" bestFit="1" customWidth="1"/>
    <col min="3088" max="3094" width="9.140625" style="476"/>
    <col min="3095" max="3095" width="9.5703125" style="476" bestFit="1" customWidth="1"/>
    <col min="3096" max="3178" width="9.140625" style="476"/>
    <col min="3179" max="3179" width="9.5703125" style="476" bestFit="1" customWidth="1"/>
    <col min="3180" max="3189" width="9.7109375" style="476" customWidth="1"/>
    <col min="3190" max="3190" width="11.140625" style="476" customWidth="1"/>
    <col min="3191" max="3191" width="9.5703125" style="476" bestFit="1" customWidth="1"/>
    <col min="3192" max="3192" width="11" style="476" customWidth="1"/>
    <col min="3193" max="3216" width="9.5703125" style="476" bestFit="1" customWidth="1"/>
    <col min="3217" max="3222" width="9.7109375" style="476" customWidth="1"/>
    <col min="3223" max="3223" width="10.85546875" style="476" customWidth="1"/>
    <col min="3224" max="3224" width="11" style="476" customWidth="1"/>
    <col min="3225" max="3238" width="9.5703125" style="476" bestFit="1" customWidth="1"/>
    <col min="3239" max="3328" width="9.140625" style="476"/>
    <col min="3329" max="3329" width="3.5703125" style="476" customWidth="1"/>
    <col min="3330" max="3330" width="9.140625" style="476"/>
    <col min="3331" max="3331" width="13.42578125" style="476" customWidth="1"/>
    <col min="3332" max="3332" width="12.42578125" style="476" customWidth="1"/>
    <col min="3333" max="3333" width="14" style="476" customWidth="1"/>
    <col min="3334" max="3334" width="13.140625" style="476" customWidth="1"/>
    <col min="3335" max="3335" width="13.5703125" style="476" customWidth="1"/>
    <col min="3336" max="3336" width="13.140625" style="476" customWidth="1"/>
    <col min="3337" max="3337" width="13.28515625" style="476" customWidth="1"/>
    <col min="3338" max="3338" width="12.42578125" style="476" customWidth="1"/>
    <col min="3339" max="3339" width="12.85546875" style="476" customWidth="1"/>
    <col min="3340" max="3340" width="12.5703125" style="476" customWidth="1"/>
    <col min="3341" max="3342" width="13.28515625" style="476" customWidth="1"/>
    <col min="3343" max="3343" width="10" style="476" bestFit="1" customWidth="1"/>
    <col min="3344" max="3350" width="9.140625" style="476"/>
    <col min="3351" max="3351" width="9.5703125" style="476" bestFit="1" customWidth="1"/>
    <col min="3352" max="3434" width="9.140625" style="476"/>
    <col min="3435" max="3435" width="9.5703125" style="476" bestFit="1" customWidth="1"/>
    <col min="3436" max="3445" width="9.7109375" style="476" customWidth="1"/>
    <col min="3446" max="3446" width="11.140625" style="476" customWidth="1"/>
    <col min="3447" max="3447" width="9.5703125" style="476" bestFit="1" customWidth="1"/>
    <col min="3448" max="3448" width="11" style="476" customWidth="1"/>
    <col min="3449" max="3472" width="9.5703125" style="476" bestFit="1" customWidth="1"/>
    <col min="3473" max="3478" width="9.7109375" style="476" customWidth="1"/>
    <col min="3479" max="3479" width="10.85546875" style="476" customWidth="1"/>
    <col min="3480" max="3480" width="11" style="476" customWidth="1"/>
    <col min="3481" max="3494" width="9.5703125" style="476" bestFit="1" customWidth="1"/>
    <col min="3495" max="3584" width="9.140625" style="476"/>
    <col min="3585" max="3585" width="3.5703125" style="476" customWidth="1"/>
    <col min="3586" max="3586" width="9.140625" style="476"/>
    <col min="3587" max="3587" width="13.42578125" style="476" customWidth="1"/>
    <col min="3588" max="3588" width="12.42578125" style="476" customWidth="1"/>
    <col min="3589" max="3589" width="14" style="476" customWidth="1"/>
    <col min="3590" max="3590" width="13.140625" style="476" customWidth="1"/>
    <col min="3591" max="3591" width="13.5703125" style="476" customWidth="1"/>
    <col min="3592" max="3592" width="13.140625" style="476" customWidth="1"/>
    <col min="3593" max="3593" width="13.28515625" style="476" customWidth="1"/>
    <col min="3594" max="3594" width="12.42578125" style="476" customWidth="1"/>
    <col min="3595" max="3595" width="12.85546875" style="476" customWidth="1"/>
    <col min="3596" max="3596" width="12.5703125" style="476" customWidth="1"/>
    <col min="3597" max="3598" width="13.28515625" style="476" customWidth="1"/>
    <col min="3599" max="3599" width="10" style="476" bestFit="1" customWidth="1"/>
    <col min="3600" max="3606" width="9.140625" style="476"/>
    <col min="3607" max="3607" width="9.5703125" style="476" bestFit="1" customWidth="1"/>
    <col min="3608" max="3690" width="9.140625" style="476"/>
    <col min="3691" max="3691" width="9.5703125" style="476" bestFit="1" customWidth="1"/>
    <col min="3692" max="3701" width="9.7109375" style="476" customWidth="1"/>
    <col min="3702" max="3702" width="11.140625" style="476" customWidth="1"/>
    <col min="3703" max="3703" width="9.5703125" style="476" bestFit="1" customWidth="1"/>
    <col min="3704" max="3704" width="11" style="476" customWidth="1"/>
    <col min="3705" max="3728" width="9.5703125" style="476" bestFit="1" customWidth="1"/>
    <col min="3729" max="3734" width="9.7109375" style="476" customWidth="1"/>
    <col min="3735" max="3735" width="10.85546875" style="476" customWidth="1"/>
    <col min="3736" max="3736" width="11" style="476" customWidth="1"/>
    <col min="3737" max="3750" width="9.5703125" style="476" bestFit="1" customWidth="1"/>
    <col min="3751" max="3840" width="9.140625" style="476"/>
    <col min="3841" max="3841" width="3.5703125" style="476" customWidth="1"/>
    <col min="3842" max="3842" width="9.140625" style="476"/>
    <col min="3843" max="3843" width="13.42578125" style="476" customWidth="1"/>
    <col min="3844" max="3844" width="12.42578125" style="476" customWidth="1"/>
    <col min="3845" max="3845" width="14" style="476" customWidth="1"/>
    <col min="3846" max="3846" width="13.140625" style="476" customWidth="1"/>
    <col min="3847" max="3847" width="13.5703125" style="476" customWidth="1"/>
    <col min="3848" max="3848" width="13.140625" style="476" customWidth="1"/>
    <col min="3849" max="3849" width="13.28515625" style="476" customWidth="1"/>
    <col min="3850" max="3850" width="12.42578125" style="476" customWidth="1"/>
    <col min="3851" max="3851" width="12.85546875" style="476" customWidth="1"/>
    <col min="3852" max="3852" width="12.5703125" style="476" customWidth="1"/>
    <col min="3853" max="3854" width="13.28515625" style="476" customWidth="1"/>
    <col min="3855" max="3855" width="10" style="476" bestFit="1" customWidth="1"/>
    <col min="3856" max="3862" width="9.140625" style="476"/>
    <col min="3863" max="3863" width="9.5703125" style="476" bestFit="1" customWidth="1"/>
    <col min="3864" max="3946" width="9.140625" style="476"/>
    <col min="3947" max="3947" width="9.5703125" style="476" bestFit="1" customWidth="1"/>
    <col min="3948" max="3957" width="9.7109375" style="476" customWidth="1"/>
    <col min="3958" max="3958" width="11.140625" style="476" customWidth="1"/>
    <col min="3959" max="3959" width="9.5703125" style="476" bestFit="1" customWidth="1"/>
    <col min="3960" max="3960" width="11" style="476" customWidth="1"/>
    <col min="3961" max="3984" width="9.5703125" style="476" bestFit="1" customWidth="1"/>
    <col min="3985" max="3990" width="9.7109375" style="476" customWidth="1"/>
    <col min="3991" max="3991" width="10.85546875" style="476" customWidth="1"/>
    <col min="3992" max="3992" width="11" style="476" customWidth="1"/>
    <col min="3993" max="4006" width="9.5703125" style="476" bestFit="1" customWidth="1"/>
    <col min="4007" max="4096" width="9.140625" style="476"/>
    <col min="4097" max="4097" width="3.5703125" style="476" customWidth="1"/>
    <col min="4098" max="4098" width="9.140625" style="476"/>
    <col min="4099" max="4099" width="13.42578125" style="476" customWidth="1"/>
    <col min="4100" max="4100" width="12.42578125" style="476" customWidth="1"/>
    <col min="4101" max="4101" width="14" style="476" customWidth="1"/>
    <col min="4102" max="4102" width="13.140625" style="476" customWidth="1"/>
    <col min="4103" max="4103" width="13.5703125" style="476" customWidth="1"/>
    <col min="4104" max="4104" width="13.140625" style="476" customWidth="1"/>
    <col min="4105" max="4105" width="13.28515625" style="476" customWidth="1"/>
    <col min="4106" max="4106" width="12.42578125" style="476" customWidth="1"/>
    <col min="4107" max="4107" width="12.85546875" style="476" customWidth="1"/>
    <col min="4108" max="4108" width="12.5703125" style="476" customWidth="1"/>
    <col min="4109" max="4110" width="13.28515625" style="476" customWidth="1"/>
    <col min="4111" max="4111" width="10" style="476" bestFit="1" customWidth="1"/>
    <col min="4112" max="4118" width="9.140625" style="476"/>
    <col min="4119" max="4119" width="9.5703125" style="476" bestFit="1" customWidth="1"/>
    <col min="4120" max="4202" width="9.140625" style="476"/>
    <col min="4203" max="4203" width="9.5703125" style="476" bestFit="1" customWidth="1"/>
    <col min="4204" max="4213" width="9.7109375" style="476" customWidth="1"/>
    <col min="4214" max="4214" width="11.140625" style="476" customWidth="1"/>
    <col min="4215" max="4215" width="9.5703125" style="476" bestFit="1" customWidth="1"/>
    <col min="4216" max="4216" width="11" style="476" customWidth="1"/>
    <col min="4217" max="4240" width="9.5703125" style="476" bestFit="1" customWidth="1"/>
    <col min="4241" max="4246" width="9.7109375" style="476" customWidth="1"/>
    <col min="4247" max="4247" width="10.85546875" style="476" customWidth="1"/>
    <col min="4248" max="4248" width="11" style="476" customWidth="1"/>
    <col min="4249" max="4262" width="9.5703125" style="476" bestFit="1" customWidth="1"/>
    <col min="4263" max="4352" width="9.140625" style="476"/>
    <col min="4353" max="4353" width="3.5703125" style="476" customWidth="1"/>
    <col min="4354" max="4354" width="9.140625" style="476"/>
    <col min="4355" max="4355" width="13.42578125" style="476" customWidth="1"/>
    <col min="4356" max="4356" width="12.42578125" style="476" customWidth="1"/>
    <col min="4357" max="4357" width="14" style="476" customWidth="1"/>
    <col min="4358" max="4358" width="13.140625" style="476" customWidth="1"/>
    <col min="4359" max="4359" width="13.5703125" style="476" customWidth="1"/>
    <col min="4360" max="4360" width="13.140625" style="476" customWidth="1"/>
    <col min="4361" max="4361" width="13.28515625" style="476" customWidth="1"/>
    <col min="4362" max="4362" width="12.42578125" style="476" customWidth="1"/>
    <col min="4363" max="4363" width="12.85546875" style="476" customWidth="1"/>
    <col min="4364" max="4364" width="12.5703125" style="476" customWidth="1"/>
    <col min="4365" max="4366" width="13.28515625" style="476" customWidth="1"/>
    <col min="4367" max="4367" width="10" style="476" bestFit="1" customWidth="1"/>
    <col min="4368" max="4374" width="9.140625" style="476"/>
    <col min="4375" max="4375" width="9.5703125" style="476" bestFit="1" customWidth="1"/>
    <col min="4376" max="4458" width="9.140625" style="476"/>
    <col min="4459" max="4459" width="9.5703125" style="476" bestFit="1" customWidth="1"/>
    <col min="4460" max="4469" width="9.7109375" style="476" customWidth="1"/>
    <col min="4470" max="4470" width="11.140625" style="476" customWidth="1"/>
    <col min="4471" max="4471" width="9.5703125" style="476" bestFit="1" customWidth="1"/>
    <col min="4472" max="4472" width="11" style="476" customWidth="1"/>
    <col min="4473" max="4496" width="9.5703125" style="476" bestFit="1" customWidth="1"/>
    <col min="4497" max="4502" width="9.7109375" style="476" customWidth="1"/>
    <col min="4503" max="4503" width="10.85546875" style="476" customWidth="1"/>
    <col min="4504" max="4504" width="11" style="476" customWidth="1"/>
    <col min="4505" max="4518" width="9.5703125" style="476" bestFit="1" customWidth="1"/>
    <col min="4519" max="4608" width="9.140625" style="476"/>
    <col min="4609" max="4609" width="3.5703125" style="476" customWidth="1"/>
    <col min="4610" max="4610" width="9.140625" style="476"/>
    <col min="4611" max="4611" width="13.42578125" style="476" customWidth="1"/>
    <col min="4612" max="4612" width="12.42578125" style="476" customWidth="1"/>
    <col min="4613" max="4613" width="14" style="476" customWidth="1"/>
    <col min="4614" max="4614" width="13.140625" style="476" customWidth="1"/>
    <col min="4615" max="4615" width="13.5703125" style="476" customWidth="1"/>
    <col min="4616" max="4616" width="13.140625" style="476" customWidth="1"/>
    <col min="4617" max="4617" width="13.28515625" style="476" customWidth="1"/>
    <col min="4618" max="4618" width="12.42578125" style="476" customWidth="1"/>
    <col min="4619" max="4619" width="12.85546875" style="476" customWidth="1"/>
    <col min="4620" max="4620" width="12.5703125" style="476" customWidth="1"/>
    <col min="4621" max="4622" width="13.28515625" style="476" customWidth="1"/>
    <col min="4623" max="4623" width="10" style="476" bestFit="1" customWidth="1"/>
    <col min="4624" max="4630" width="9.140625" style="476"/>
    <col min="4631" max="4631" width="9.5703125" style="476" bestFit="1" customWidth="1"/>
    <col min="4632" max="4714" width="9.140625" style="476"/>
    <col min="4715" max="4715" width="9.5703125" style="476" bestFit="1" customWidth="1"/>
    <col min="4716" max="4725" width="9.7109375" style="476" customWidth="1"/>
    <col min="4726" max="4726" width="11.140625" style="476" customWidth="1"/>
    <col min="4727" max="4727" width="9.5703125" style="476" bestFit="1" customWidth="1"/>
    <col min="4728" max="4728" width="11" style="476" customWidth="1"/>
    <col min="4729" max="4752" width="9.5703125" style="476" bestFit="1" customWidth="1"/>
    <col min="4753" max="4758" width="9.7109375" style="476" customWidth="1"/>
    <col min="4759" max="4759" width="10.85546875" style="476" customWidth="1"/>
    <col min="4760" max="4760" width="11" style="476" customWidth="1"/>
    <col min="4761" max="4774" width="9.5703125" style="476" bestFit="1" customWidth="1"/>
    <col min="4775" max="4864" width="9.140625" style="476"/>
    <col min="4865" max="4865" width="3.5703125" style="476" customWidth="1"/>
    <col min="4866" max="4866" width="9.140625" style="476"/>
    <col min="4867" max="4867" width="13.42578125" style="476" customWidth="1"/>
    <col min="4868" max="4868" width="12.42578125" style="476" customWidth="1"/>
    <col min="4869" max="4869" width="14" style="476" customWidth="1"/>
    <col min="4870" max="4870" width="13.140625" style="476" customWidth="1"/>
    <col min="4871" max="4871" width="13.5703125" style="476" customWidth="1"/>
    <col min="4872" max="4872" width="13.140625" style="476" customWidth="1"/>
    <col min="4873" max="4873" width="13.28515625" style="476" customWidth="1"/>
    <col min="4874" max="4874" width="12.42578125" style="476" customWidth="1"/>
    <col min="4875" max="4875" width="12.85546875" style="476" customWidth="1"/>
    <col min="4876" max="4876" width="12.5703125" style="476" customWidth="1"/>
    <col min="4877" max="4878" width="13.28515625" style="476" customWidth="1"/>
    <col min="4879" max="4879" width="10" style="476" bestFit="1" customWidth="1"/>
    <col min="4880" max="4886" width="9.140625" style="476"/>
    <col min="4887" max="4887" width="9.5703125" style="476" bestFit="1" customWidth="1"/>
    <col min="4888" max="4970" width="9.140625" style="476"/>
    <col min="4971" max="4971" width="9.5703125" style="476" bestFit="1" customWidth="1"/>
    <col min="4972" max="4981" width="9.7109375" style="476" customWidth="1"/>
    <col min="4982" max="4982" width="11.140625" style="476" customWidth="1"/>
    <col min="4983" max="4983" width="9.5703125" style="476" bestFit="1" customWidth="1"/>
    <col min="4984" max="4984" width="11" style="476" customWidth="1"/>
    <col min="4985" max="5008" width="9.5703125" style="476" bestFit="1" customWidth="1"/>
    <col min="5009" max="5014" width="9.7109375" style="476" customWidth="1"/>
    <col min="5015" max="5015" width="10.85546875" style="476" customWidth="1"/>
    <col min="5016" max="5016" width="11" style="476" customWidth="1"/>
    <col min="5017" max="5030" width="9.5703125" style="476" bestFit="1" customWidth="1"/>
    <col min="5031" max="5120" width="9.140625" style="476"/>
    <col min="5121" max="5121" width="3.5703125" style="476" customWidth="1"/>
    <col min="5122" max="5122" width="9.140625" style="476"/>
    <col min="5123" max="5123" width="13.42578125" style="476" customWidth="1"/>
    <col min="5124" max="5124" width="12.42578125" style="476" customWidth="1"/>
    <col min="5125" max="5125" width="14" style="476" customWidth="1"/>
    <col min="5126" max="5126" width="13.140625" style="476" customWidth="1"/>
    <col min="5127" max="5127" width="13.5703125" style="476" customWidth="1"/>
    <col min="5128" max="5128" width="13.140625" style="476" customWidth="1"/>
    <col min="5129" max="5129" width="13.28515625" style="476" customWidth="1"/>
    <col min="5130" max="5130" width="12.42578125" style="476" customWidth="1"/>
    <col min="5131" max="5131" width="12.85546875" style="476" customWidth="1"/>
    <col min="5132" max="5132" width="12.5703125" style="476" customWidth="1"/>
    <col min="5133" max="5134" width="13.28515625" style="476" customWidth="1"/>
    <col min="5135" max="5135" width="10" style="476" bestFit="1" customWidth="1"/>
    <col min="5136" max="5142" width="9.140625" style="476"/>
    <col min="5143" max="5143" width="9.5703125" style="476" bestFit="1" customWidth="1"/>
    <col min="5144" max="5226" width="9.140625" style="476"/>
    <col min="5227" max="5227" width="9.5703125" style="476" bestFit="1" customWidth="1"/>
    <col min="5228" max="5237" width="9.7109375" style="476" customWidth="1"/>
    <col min="5238" max="5238" width="11.140625" style="476" customWidth="1"/>
    <col min="5239" max="5239" width="9.5703125" style="476" bestFit="1" customWidth="1"/>
    <col min="5240" max="5240" width="11" style="476" customWidth="1"/>
    <col min="5241" max="5264" width="9.5703125" style="476" bestFit="1" customWidth="1"/>
    <col min="5265" max="5270" width="9.7109375" style="476" customWidth="1"/>
    <col min="5271" max="5271" width="10.85546875" style="476" customWidth="1"/>
    <col min="5272" max="5272" width="11" style="476" customWidth="1"/>
    <col min="5273" max="5286" width="9.5703125" style="476" bestFit="1" customWidth="1"/>
    <col min="5287" max="5376" width="9.140625" style="476"/>
    <col min="5377" max="5377" width="3.5703125" style="476" customWidth="1"/>
    <col min="5378" max="5378" width="9.140625" style="476"/>
    <col min="5379" max="5379" width="13.42578125" style="476" customWidth="1"/>
    <col min="5380" max="5380" width="12.42578125" style="476" customWidth="1"/>
    <col min="5381" max="5381" width="14" style="476" customWidth="1"/>
    <col min="5382" max="5382" width="13.140625" style="476" customWidth="1"/>
    <col min="5383" max="5383" width="13.5703125" style="476" customWidth="1"/>
    <col min="5384" max="5384" width="13.140625" style="476" customWidth="1"/>
    <col min="5385" max="5385" width="13.28515625" style="476" customWidth="1"/>
    <col min="5386" max="5386" width="12.42578125" style="476" customWidth="1"/>
    <col min="5387" max="5387" width="12.85546875" style="476" customWidth="1"/>
    <col min="5388" max="5388" width="12.5703125" style="476" customWidth="1"/>
    <col min="5389" max="5390" width="13.28515625" style="476" customWidth="1"/>
    <col min="5391" max="5391" width="10" style="476" bestFit="1" customWidth="1"/>
    <col min="5392" max="5398" width="9.140625" style="476"/>
    <col min="5399" max="5399" width="9.5703125" style="476" bestFit="1" customWidth="1"/>
    <col min="5400" max="5482" width="9.140625" style="476"/>
    <col min="5483" max="5483" width="9.5703125" style="476" bestFit="1" customWidth="1"/>
    <col min="5484" max="5493" width="9.7109375" style="476" customWidth="1"/>
    <col min="5494" max="5494" width="11.140625" style="476" customWidth="1"/>
    <col min="5495" max="5495" width="9.5703125" style="476" bestFit="1" customWidth="1"/>
    <col min="5496" max="5496" width="11" style="476" customWidth="1"/>
    <col min="5497" max="5520" width="9.5703125" style="476" bestFit="1" customWidth="1"/>
    <col min="5521" max="5526" width="9.7109375" style="476" customWidth="1"/>
    <col min="5527" max="5527" width="10.85546875" style="476" customWidth="1"/>
    <col min="5528" max="5528" width="11" style="476" customWidth="1"/>
    <col min="5529" max="5542" width="9.5703125" style="476" bestFit="1" customWidth="1"/>
    <col min="5543" max="5632" width="9.140625" style="476"/>
    <col min="5633" max="5633" width="3.5703125" style="476" customWidth="1"/>
    <col min="5634" max="5634" width="9.140625" style="476"/>
    <col min="5635" max="5635" width="13.42578125" style="476" customWidth="1"/>
    <col min="5636" max="5636" width="12.42578125" style="476" customWidth="1"/>
    <col min="5637" max="5637" width="14" style="476" customWidth="1"/>
    <col min="5638" max="5638" width="13.140625" style="476" customWidth="1"/>
    <col min="5639" max="5639" width="13.5703125" style="476" customWidth="1"/>
    <col min="5640" max="5640" width="13.140625" style="476" customWidth="1"/>
    <col min="5641" max="5641" width="13.28515625" style="476" customWidth="1"/>
    <col min="5642" max="5642" width="12.42578125" style="476" customWidth="1"/>
    <col min="5643" max="5643" width="12.85546875" style="476" customWidth="1"/>
    <col min="5644" max="5644" width="12.5703125" style="476" customWidth="1"/>
    <col min="5645" max="5646" width="13.28515625" style="476" customWidth="1"/>
    <col min="5647" max="5647" width="10" style="476" bestFit="1" customWidth="1"/>
    <col min="5648" max="5654" width="9.140625" style="476"/>
    <col min="5655" max="5655" width="9.5703125" style="476" bestFit="1" customWidth="1"/>
    <col min="5656" max="5738" width="9.140625" style="476"/>
    <col min="5739" max="5739" width="9.5703125" style="476" bestFit="1" customWidth="1"/>
    <col min="5740" max="5749" width="9.7109375" style="476" customWidth="1"/>
    <col min="5750" max="5750" width="11.140625" style="476" customWidth="1"/>
    <col min="5751" max="5751" width="9.5703125" style="476" bestFit="1" customWidth="1"/>
    <col min="5752" max="5752" width="11" style="476" customWidth="1"/>
    <col min="5753" max="5776" width="9.5703125" style="476" bestFit="1" customWidth="1"/>
    <col min="5777" max="5782" width="9.7109375" style="476" customWidth="1"/>
    <col min="5783" max="5783" width="10.85546875" style="476" customWidth="1"/>
    <col min="5784" max="5784" width="11" style="476" customWidth="1"/>
    <col min="5785" max="5798" width="9.5703125" style="476" bestFit="1" customWidth="1"/>
    <col min="5799" max="5888" width="9.140625" style="476"/>
    <col min="5889" max="5889" width="3.5703125" style="476" customWidth="1"/>
    <col min="5890" max="5890" width="9.140625" style="476"/>
    <col min="5891" max="5891" width="13.42578125" style="476" customWidth="1"/>
    <col min="5892" max="5892" width="12.42578125" style="476" customWidth="1"/>
    <col min="5893" max="5893" width="14" style="476" customWidth="1"/>
    <col min="5894" max="5894" width="13.140625" style="476" customWidth="1"/>
    <col min="5895" max="5895" width="13.5703125" style="476" customWidth="1"/>
    <col min="5896" max="5896" width="13.140625" style="476" customWidth="1"/>
    <col min="5897" max="5897" width="13.28515625" style="476" customWidth="1"/>
    <col min="5898" max="5898" width="12.42578125" style="476" customWidth="1"/>
    <col min="5899" max="5899" width="12.85546875" style="476" customWidth="1"/>
    <col min="5900" max="5900" width="12.5703125" style="476" customWidth="1"/>
    <col min="5901" max="5902" width="13.28515625" style="476" customWidth="1"/>
    <col min="5903" max="5903" width="10" style="476" bestFit="1" customWidth="1"/>
    <col min="5904" max="5910" width="9.140625" style="476"/>
    <col min="5911" max="5911" width="9.5703125" style="476" bestFit="1" customWidth="1"/>
    <col min="5912" max="5994" width="9.140625" style="476"/>
    <col min="5995" max="5995" width="9.5703125" style="476" bestFit="1" customWidth="1"/>
    <col min="5996" max="6005" width="9.7109375" style="476" customWidth="1"/>
    <col min="6006" max="6006" width="11.140625" style="476" customWidth="1"/>
    <col min="6007" max="6007" width="9.5703125" style="476" bestFit="1" customWidth="1"/>
    <col min="6008" max="6008" width="11" style="476" customWidth="1"/>
    <col min="6009" max="6032" width="9.5703125" style="476" bestFit="1" customWidth="1"/>
    <col min="6033" max="6038" width="9.7109375" style="476" customWidth="1"/>
    <col min="6039" max="6039" width="10.85546875" style="476" customWidth="1"/>
    <col min="6040" max="6040" width="11" style="476" customWidth="1"/>
    <col min="6041" max="6054" width="9.5703125" style="476" bestFit="1" customWidth="1"/>
    <col min="6055" max="6144" width="9.140625" style="476"/>
    <col min="6145" max="6145" width="3.5703125" style="476" customWidth="1"/>
    <col min="6146" max="6146" width="9.140625" style="476"/>
    <col min="6147" max="6147" width="13.42578125" style="476" customWidth="1"/>
    <col min="6148" max="6148" width="12.42578125" style="476" customWidth="1"/>
    <col min="6149" max="6149" width="14" style="476" customWidth="1"/>
    <col min="6150" max="6150" width="13.140625" style="476" customWidth="1"/>
    <col min="6151" max="6151" width="13.5703125" style="476" customWidth="1"/>
    <col min="6152" max="6152" width="13.140625" style="476" customWidth="1"/>
    <col min="6153" max="6153" width="13.28515625" style="476" customWidth="1"/>
    <col min="6154" max="6154" width="12.42578125" style="476" customWidth="1"/>
    <col min="6155" max="6155" width="12.85546875" style="476" customWidth="1"/>
    <col min="6156" max="6156" width="12.5703125" style="476" customWidth="1"/>
    <col min="6157" max="6158" width="13.28515625" style="476" customWidth="1"/>
    <col min="6159" max="6159" width="10" style="476" bestFit="1" customWidth="1"/>
    <col min="6160" max="6166" width="9.140625" style="476"/>
    <col min="6167" max="6167" width="9.5703125" style="476" bestFit="1" customWidth="1"/>
    <col min="6168" max="6250" width="9.140625" style="476"/>
    <col min="6251" max="6251" width="9.5703125" style="476" bestFit="1" customWidth="1"/>
    <col min="6252" max="6261" width="9.7109375" style="476" customWidth="1"/>
    <col min="6262" max="6262" width="11.140625" style="476" customWidth="1"/>
    <col min="6263" max="6263" width="9.5703125" style="476" bestFit="1" customWidth="1"/>
    <col min="6264" max="6264" width="11" style="476" customWidth="1"/>
    <col min="6265" max="6288" width="9.5703125" style="476" bestFit="1" customWidth="1"/>
    <col min="6289" max="6294" width="9.7109375" style="476" customWidth="1"/>
    <col min="6295" max="6295" width="10.85546875" style="476" customWidth="1"/>
    <col min="6296" max="6296" width="11" style="476" customWidth="1"/>
    <col min="6297" max="6310" width="9.5703125" style="476" bestFit="1" customWidth="1"/>
    <col min="6311" max="6400" width="9.140625" style="476"/>
    <col min="6401" max="6401" width="3.5703125" style="476" customWidth="1"/>
    <col min="6402" max="6402" width="9.140625" style="476"/>
    <col min="6403" max="6403" width="13.42578125" style="476" customWidth="1"/>
    <col min="6404" max="6404" width="12.42578125" style="476" customWidth="1"/>
    <col min="6405" max="6405" width="14" style="476" customWidth="1"/>
    <col min="6406" max="6406" width="13.140625" style="476" customWidth="1"/>
    <col min="6407" max="6407" width="13.5703125" style="476" customWidth="1"/>
    <col min="6408" max="6408" width="13.140625" style="476" customWidth="1"/>
    <col min="6409" max="6409" width="13.28515625" style="476" customWidth="1"/>
    <col min="6410" max="6410" width="12.42578125" style="476" customWidth="1"/>
    <col min="6411" max="6411" width="12.85546875" style="476" customWidth="1"/>
    <col min="6412" max="6412" width="12.5703125" style="476" customWidth="1"/>
    <col min="6413" max="6414" width="13.28515625" style="476" customWidth="1"/>
    <col min="6415" max="6415" width="10" style="476" bestFit="1" customWidth="1"/>
    <col min="6416" max="6422" width="9.140625" style="476"/>
    <col min="6423" max="6423" width="9.5703125" style="476" bestFit="1" customWidth="1"/>
    <col min="6424" max="6506" width="9.140625" style="476"/>
    <col min="6507" max="6507" width="9.5703125" style="476" bestFit="1" customWidth="1"/>
    <col min="6508" max="6517" width="9.7109375" style="476" customWidth="1"/>
    <col min="6518" max="6518" width="11.140625" style="476" customWidth="1"/>
    <col min="6519" max="6519" width="9.5703125" style="476" bestFit="1" customWidth="1"/>
    <col min="6520" max="6520" width="11" style="476" customWidth="1"/>
    <col min="6521" max="6544" width="9.5703125" style="476" bestFit="1" customWidth="1"/>
    <col min="6545" max="6550" width="9.7109375" style="476" customWidth="1"/>
    <col min="6551" max="6551" width="10.85546875" style="476" customWidth="1"/>
    <col min="6552" max="6552" width="11" style="476" customWidth="1"/>
    <col min="6553" max="6566" width="9.5703125" style="476" bestFit="1" customWidth="1"/>
    <col min="6567" max="6656" width="9.140625" style="476"/>
    <col min="6657" max="6657" width="3.5703125" style="476" customWidth="1"/>
    <col min="6658" max="6658" width="9.140625" style="476"/>
    <col min="6659" max="6659" width="13.42578125" style="476" customWidth="1"/>
    <col min="6660" max="6660" width="12.42578125" style="476" customWidth="1"/>
    <col min="6661" max="6661" width="14" style="476" customWidth="1"/>
    <col min="6662" max="6662" width="13.140625" style="476" customWidth="1"/>
    <col min="6663" max="6663" width="13.5703125" style="476" customWidth="1"/>
    <col min="6664" max="6664" width="13.140625" style="476" customWidth="1"/>
    <col min="6665" max="6665" width="13.28515625" style="476" customWidth="1"/>
    <col min="6666" max="6666" width="12.42578125" style="476" customWidth="1"/>
    <col min="6667" max="6667" width="12.85546875" style="476" customWidth="1"/>
    <col min="6668" max="6668" width="12.5703125" style="476" customWidth="1"/>
    <col min="6669" max="6670" width="13.28515625" style="476" customWidth="1"/>
    <col min="6671" max="6671" width="10" style="476" bestFit="1" customWidth="1"/>
    <col min="6672" max="6678" width="9.140625" style="476"/>
    <col min="6679" max="6679" width="9.5703125" style="476" bestFit="1" customWidth="1"/>
    <col min="6680" max="6762" width="9.140625" style="476"/>
    <col min="6763" max="6763" width="9.5703125" style="476" bestFit="1" customWidth="1"/>
    <col min="6764" max="6773" width="9.7109375" style="476" customWidth="1"/>
    <col min="6774" max="6774" width="11.140625" style="476" customWidth="1"/>
    <col min="6775" max="6775" width="9.5703125" style="476" bestFit="1" customWidth="1"/>
    <col min="6776" max="6776" width="11" style="476" customWidth="1"/>
    <col min="6777" max="6800" width="9.5703125" style="476" bestFit="1" customWidth="1"/>
    <col min="6801" max="6806" width="9.7109375" style="476" customWidth="1"/>
    <col min="6807" max="6807" width="10.85546875" style="476" customWidth="1"/>
    <col min="6808" max="6808" width="11" style="476" customWidth="1"/>
    <col min="6809" max="6822" width="9.5703125" style="476" bestFit="1" customWidth="1"/>
    <col min="6823" max="6912" width="9.140625" style="476"/>
    <col min="6913" max="6913" width="3.5703125" style="476" customWidth="1"/>
    <col min="6914" max="6914" width="9.140625" style="476"/>
    <col min="6915" max="6915" width="13.42578125" style="476" customWidth="1"/>
    <col min="6916" max="6916" width="12.42578125" style="476" customWidth="1"/>
    <col min="6917" max="6917" width="14" style="476" customWidth="1"/>
    <col min="6918" max="6918" width="13.140625" style="476" customWidth="1"/>
    <col min="6919" max="6919" width="13.5703125" style="476" customWidth="1"/>
    <col min="6920" max="6920" width="13.140625" style="476" customWidth="1"/>
    <col min="6921" max="6921" width="13.28515625" style="476" customWidth="1"/>
    <col min="6922" max="6922" width="12.42578125" style="476" customWidth="1"/>
    <col min="6923" max="6923" width="12.85546875" style="476" customWidth="1"/>
    <col min="6924" max="6924" width="12.5703125" style="476" customWidth="1"/>
    <col min="6925" max="6926" width="13.28515625" style="476" customWidth="1"/>
    <col min="6927" max="6927" width="10" style="476" bestFit="1" customWidth="1"/>
    <col min="6928" max="6934" width="9.140625" style="476"/>
    <col min="6935" max="6935" width="9.5703125" style="476" bestFit="1" customWidth="1"/>
    <col min="6936" max="7018" width="9.140625" style="476"/>
    <col min="7019" max="7019" width="9.5703125" style="476" bestFit="1" customWidth="1"/>
    <col min="7020" max="7029" width="9.7109375" style="476" customWidth="1"/>
    <col min="7030" max="7030" width="11.140625" style="476" customWidth="1"/>
    <col min="7031" max="7031" width="9.5703125" style="476" bestFit="1" customWidth="1"/>
    <col min="7032" max="7032" width="11" style="476" customWidth="1"/>
    <col min="7033" max="7056" width="9.5703125" style="476" bestFit="1" customWidth="1"/>
    <col min="7057" max="7062" width="9.7109375" style="476" customWidth="1"/>
    <col min="7063" max="7063" width="10.85546875" style="476" customWidth="1"/>
    <col min="7064" max="7064" width="11" style="476" customWidth="1"/>
    <col min="7065" max="7078" width="9.5703125" style="476" bestFit="1" customWidth="1"/>
    <col min="7079" max="7168" width="9.140625" style="476"/>
    <col min="7169" max="7169" width="3.5703125" style="476" customWidth="1"/>
    <col min="7170" max="7170" width="9.140625" style="476"/>
    <col min="7171" max="7171" width="13.42578125" style="476" customWidth="1"/>
    <col min="7172" max="7172" width="12.42578125" style="476" customWidth="1"/>
    <col min="7173" max="7173" width="14" style="476" customWidth="1"/>
    <col min="7174" max="7174" width="13.140625" style="476" customWidth="1"/>
    <col min="7175" max="7175" width="13.5703125" style="476" customWidth="1"/>
    <col min="7176" max="7176" width="13.140625" style="476" customWidth="1"/>
    <col min="7177" max="7177" width="13.28515625" style="476" customWidth="1"/>
    <col min="7178" max="7178" width="12.42578125" style="476" customWidth="1"/>
    <col min="7179" max="7179" width="12.85546875" style="476" customWidth="1"/>
    <col min="7180" max="7180" width="12.5703125" style="476" customWidth="1"/>
    <col min="7181" max="7182" width="13.28515625" style="476" customWidth="1"/>
    <col min="7183" max="7183" width="10" style="476" bestFit="1" customWidth="1"/>
    <col min="7184" max="7190" width="9.140625" style="476"/>
    <col min="7191" max="7191" width="9.5703125" style="476" bestFit="1" customWidth="1"/>
    <col min="7192" max="7274" width="9.140625" style="476"/>
    <col min="7275" max="7275" width="9.5703125" style="476" bestFit="1" customWidth="1"/>
    <col min="7276" max="7285" width="9.7109375" style="476" customWidth="1"/>
    <col min="7286" max="7286" width="11.140625" style="476" customWidth="1"/>
    <col min="7287" max="7287" width="9.5703125" style="476" bestFit="1" customWidth="1"/>
    <col min="7288" max="7288" width="11" style="476" customWidth="1"/>
    <col min="7289" max="7312" width="9.5703125" style="476" bestFit="1" customWidth="1"/>
    <col min="7313" max="7318" width="9.7109375" style="476" customWidth="1"/>
    <col min="7319" max="7319" width="10.85546875" style="476" customWidth="1"/>
    <col min="7320" max="7320" width="11" style="476" customWidth="1"/>
    <col min="7321" max="7334" width="9.5703125" style="476" bestFit="1" customWidth="1"/>
    <col min="7335" max="7424" width="9.140625" style="476"/>
    <col min="7425" max="7425" width="3.5703125" style="476" customWidth="1"/>
    <col min="7426" max="7426" width="9.140625" style="476"/>
    <col min="7427" max="7427" width="13.42578125" style="476" customWidth="1"/>
    <col min="7428" max="7428" width="12.42578125" style="476" customWidth="1"/>
    <col min="7429" max="7429" width="14" style="476" customWidth="1"/>
    <col min="7430" max="7430" width="13.140625" style="476" customWidth="1"/>
    <col min="7431" max="7431" width="13.5703125" style="476" customWidth="1"/>
    <col min="7432" max="7432" width="13.140625" style="476" customWidth="1"/>
    <col min="7433" max="7433" width="13.28515625" style="476" customWidth="1"/>
    <col min="7434" max="7434" width="12.42578125" style="476" customWidth="1"/>
    <col min="7435" max="7435" width="12.85546875" style="476" customWidth="1"/>
    <col min="7436" max="7436" width="12.5703125" style="476" customWidth="1"/>
    <col min="7437" max="7438" width="13.28515625" style="476" customWidth="1"/>
    <col min="7439" max="7439" width="10" style="476" bestFit="1" customWidth="1"/>
    <col min="7440" max="7446" width="9.140625" style="476"/>
    <col min="7447" max="7447" width="9.5703125" style="476" bestFit="1" customWidth="1"/>
    <col min="7448" max="7530" width="9.140625" style="476"/>
    <col min="7531" max="7531" width="9.5703125" style="476" bestFit="1" customWidth="1"/>
    <col min="7532" max="7541" width="9.7109375" style="476" customWidth="1"/>
    <col min="7542" max="7542" width="11.140625" style="476" customWidth="1"/>
    <col min="7543" max="7543" width="9.5703125" style="476" bestFit="1" customWidth="1"/>
    <col min="7544" max="7544" width="11" style="476" customWidth="1"/>
    <col min="7545" max="7568" width="9.5703125" style="476" bestFit="1" customWidth="1"/>
    <col min="7569" max="7574" width="9.7109375" style="476" customWidth="1"/>
    <col min="7575" max="7575" width="10.85546875" style="476" customWidth="1"/>
    <col min="7576" max="7576" width="11" style="476" customWidth="1"/>
    <col min="7577" max="7590" width="9.5703125" style="476" bestFit="1" customWidth="1"/>
    <col min="7591" max="7680" width="9.140625" style="476"/>
    <col min="7681" max="7681" width="3.5703125" style="476" customWidth="1"/>
    <col min="7682" max="7682" width="9.140625" style="476"/>
    <col min="7683" max="7683" width="13.42578125" style="476" customWidth="1"/>
    <col min="7684" max="7684" width="12.42578125" style="476" customWidth="1"/>
    <col min="7685" max="7685" width="14" style="476" customWidth="1"/>
    <col min="7686" max="7686" width="13.140625" style="476" customWidth="1"/>
    <col min="7687" max="7687" width="13.5703125" style="476" customWidth="1"/>
    <col min="7688" max="7688" width="13.140625" style="476" customWidth="1"/>
    <col min="7689" max="7689" width="13.28515625" style="476" customWidth="1"/>
    <col min="7690" max="7690" width="12.42578125" style="476" customWidth="1"/>
    <col min="7691" max="7691" width="12.85546875" style="476" customWidth="1"/>
    <col min="7692" max="7692" width="12.5703125" style="476" customWidth="1"/>
    <col min="7693" max="7694" width="13.28515625" style="476" customWidth="1"/>
    <col min="7695" max="7695" width="10" style="476" bestFit="1" customWidth="1"/>
    <col min="7696" max="7702" width="9.140625" style="476"/>
    <col min="7703" max="7703" width="9.5703125" style="476" bestFit="1" customWidth="1"/>
    <col min="7704" max="7786" width="9.140625" style="476"/>
    <col min="7787" max="7787" width="9.5703125" style="476" bestFit="1" customWidth="1"/>
    <col min="7788" max="7797" width="9.7109375" style="476" customWidth="1"/>
    <col min="7798" max="7798" width="11.140625" style="476" customWidth="1"/>
    <col min="7799" max="7799" width="9.5703125" style="476" bestFit="1" customWidth="1"/>
    <col min="7800" max="7800" width="11" style="476" customWidth="1"/>
    <col min="7801" max="7824" width="9.5703125" style="476" bestFit="1" customWidth="1"/>
    <col min="7825" max="7830" width="9.7109375" style="476" customWidth="1"/>
    <col min="7831" max="7831" width="10.85546875" style="476" customWidth="1"/>
    <col min="7832" max="7832" width="11" style="476" customWidth="1"/>
    <col min="7833" max="7846" width="9.5703125" style="476" bestFit="1" customWidth="1"/>
    <col min="7847" max="7936" width="9.140625" style="476"/>
    <col min="7937" max="7937" width="3.5703125" style="476" customWidth="1"/>
    <col min="7938" max="7938" width="9.140625" style="476"/>
    <col min="7939" max="7939" width="13.42578125" style="476" customWidth="1"/>
    <col min="7940" max="7940" width="12.42578125" style="476" customWidth="1"/>
    <col min="7941" max="7941" width="14" style="476" customWidth="1"/>
    <col min="7942" max="7942" width="13.140625" style="476" customWidth="1"/>
    <col min="7943" max="7943" width="13.5703125" style="476" customWidth="1"/>
    <col min="7944" max="7944" width="13.140625" style="476" customWidth="1"/>
    <col min="7945" max="7945" width="13.28515625" style="476" customWidth="1"/>
    <col min="7946" max="7946" width="12.42578125" style="476" customWidth="1"/>
    <col min="7947" max="7947" width="12.85546875" style="476" customWidth="1"/>
    <col min="7948" max="7948" width="12.5703125" style="476" customWidth="1"/>
    <col min="7949" max="7950" width="13.28515625" style="476" customWidth="1"/>
    <col min="7951" max="7951" width="10" style="476" bestFit="1" customWidth="1"/>
    <col min="7952" max="7958" width="9.140625" style="476"/>
    <col min="7959" max="7959" width="9.5703125" style="476" bestFit="1" customWidth="1"/>
    <col min="7960" max="8042" width="9.140625" style="476"/>
    <col min="8043" max="8043" width="9.5703125" style="476" bestFit="1" customWidth="1"/>
    <col min="8044" max="8053" width="9.7109375" style="476" customWidth="1"/>
    <col min="8054" max="8054" width="11.140625" style="476" customWidth="1"/>
    <col min="8055" max="8055" width="9.5703125" style="476" bestFit="1" customWidth="1"/>
    <col min="8056" max="8056" width="11" style="476" customWidth="1"/>
    <col min="8057" max="8080" width="9.5703125" style="476" bestFit="1" customWidth="1"/>
    <col min="8081" max="8086" width="9.7109375" style="476" customWidth="1"/>
    <col min="8087" max="8087" width="10.85546875" style="476" customWidth="1"/>
    <col min="8088" max="8088" width="11" style="476" customWidth="1"/>
    <col min="8089" max="8102" width="9.5703125" style="476" bestFit="1" customWidth="1"/>
    <col min="8103" max="8192" width="9.140625" style="476"/>
    <col min="8193" max="8193" width="3.5703125" style="476" customWidth="1"/>
    <col min="8194" max="8194" width="9.140625" style="476"/>
    <col min="8195" max="8195" width="13.42578125" style="476" customWidth="1"/>
    <col min="8196" max="8196" width="12.42578125" style="476" customWidth="1"/>
    <col min="8197" max="8197" width="14" style="476" customWidth="1"/>
    <col min="8198" max="8198" width="13.140625" style="476" customWidth="1"/>
    <col min="8199" max="8199" width="13.5703125" style="476" customWidth="1"/>
    <col min="8200" max="8200" width="13.140625" style="476" customWidth="1"/>
    <col min="8201" max="8201" width="13.28515625" style="476" customWidth="1"/>
    <col min="8202" max="8202" width="12.42578125" style="476" customWidth="1"/>
    <col min="8203" max="8203" width="12.85546875" style="476" customWidth="1"/>
    <col min="8204" max="8204" width="12.5703125" style="476" customWidth="1"/>
    <col min="8205" max="8206" width="13.28515625" style="476" customWidth="1"/>
    <col min="8207" max="8207" width="10" style="476" bestFit="1" customWidth="1"/>
    <col min="8208" max="8214" width="9.140625" style="476"/>
    <col min="8215" max="8215" width="9.5703125" style="476" bestFit="1" customWidth="1"/>
    <col min="8216" max="8298" width="9.140625" style="476"/>
    <col min="8299" max="8299" width="9.5703125" style="476" bestFit="1" customWidth="1"/>
    <col min="8300" max="8309" width="9.7109375" style="476" customWidth="1"/>
    <col min="8310" max="8310" width="11.140625" style="476" customWidth="1"/>
    <col min="8311" max="8311" width="9.5703125" style="476" bestFit="1" customWidth="1"/>
    <col min="8312" max="8312" width="11" style="476" customWidth="1"/>
    <col min="8313" max="8336" width="9.5703125" style="476" bestFit="1" customWidth="1"/>
    <col min="8337" max="8342" width="9.7109375" style="476" customWidth="1"/>
    <col min="8343" max="8343" width="10.85546875" style="476" customWidth="1"/>
    <col min="8344" max="8344" width="11" style="476" customWidth="1"/>
    <col min="8345" max="8358" width="9.5703125" style="476" bestFit="1" customWidth="1"/>
    <col min="8359" max="8448" width="9.140625" style="476"/>
    <col min="8449" max="8449" width="3.5703125" style="476" customWidth="1"/>
    <col min="8450" max="8450" width="9.140625" style="476"/>
    <col min="8451" max="8451" width="13.42578125" style="476" customWidth="1"/>
    <col min="8452" max="8452" width="12.42578125" style="476" customWidth="1"/>
    <col min="8453" max="8453" width="14" style="476" customWidth="1"/>
    <col min="8454" max="8454" width="13.140625" style="476" customWidth="1"/>
    <col min="8455" max="8455" width="13.5703125" style="476" customWidth="1"/>
    <col min="8456" max="8456" width="13.140625" style="476" customWidth="1"/>
    <col min="8457" max="8457" width="13.28515625" style="476" customWidth="1"/>
    <col min="8458" max="8458" width="12.42578125" style="476" customWidth="1"/>
    <col min="8459" max="8459" width="12.85546875" style="476" customWidth="1"/>
    <col min="8460" max="8460" width="12.5703125" style="476" customWidth="1"/>
    <col min="8461" max="8462" width="13.28515625" style="476" customWidth="1"/>
    <col min="8463" max="8463" width="10" style="476" bestFit="1" customWidth="1"/>
    <col min="8464" max="8470" width="9.140625" style="476"/>
    <col min="8471" max="8471" width="9.5703125" style="476" bestFit="1" customWidth="1"/>
    <col min="8472" max="8554" width="9.140625" style="476"/>
    <col min="8555" max="8555" width="9.5703125" style="476" bestFit="1" customWidth="1"/>
    <col min="8556" max="8565" width="9.7109375" style="476" customWidth="1"/>
    <col min="8566" max="8566" width="11.140625" style="476" customWidth="1"/>
    <col min="8567" max="8567" width="9.5703125" style="476" bestFit="1" customWidth="1"/>
    <col min="8568" max="8568" width="11" style="476" customWidth="1"/>
    <col min="8569" max="8592" width="9.5703125" style="476" bestFit="1" customWidth="1"/>
    <col min="8593" max="8598" width="9.7109375" style="476" customWidth="1"/>
    <col min="8599" max="8599" width="10.85546875" style="476" customWidth="1"/>
    <col min="8600" max="8600" width="11" style="476" customWidth="1"/>
    <col min="8601" max="8614" width="9.5703125" style="476" bestFit="1" customWidth="1"/>
    <col min="8615" max="8704" width="9.140625" style="476"/>
    <col min="8705" max="8705" width="3.5703125" style="476" customWidth="1"/>
    <col min="8706" max="8706" width="9.140625" style="476"/>
    <col min="8707" max="8707" width="13.42578125" style="476" customWidth="1"/>
    <col min="8708" max="8708" width="12.42578125" style="476" customWidth="1"/>
    <col min="8709" max="8709" width="14" style="476" customWidth="1"/>
    <col min="8710" max="8710" width="13.140625" style="476" customWidth="1"/>
    <col min="8711" max="8711" width="13.5703125" style="476" customWidth="1"/>
    <col min="8712" max="8712" width="13.140625" style="476" customWidth="1"/>
    <col min="8713" max="8713" width="13.28515625" style="476" customWidth="1"/>
    <col min="8714" max="8714" width="12.42578125" style="476" customWidth="1"/>
    <col min="8715" max="8715" width="12.85546875" style="476" customWidth="1"/>
    <col min="8716" max="8716" width="12.5703125" style="476" customWidth="1"/>
    <col min="8717" max="8718" width="13.28515625" style="476" customWidth="1"/>
    <col min="8719" max="8719" width="10" style="476" bestFit="1" customWidth="1"/>
    <col min="8720" max="8726" width="9.140625" style="476"/>
    <col min="8727" max="8727" width="9.5703125" style="476" bestFit="1" customWidth="1"/>
    <col min="8728" max="8810" width="9.140625" style="476"/>
    <col min="8811" max="8811" width="9.5703125" style="476" bestFit="1" customWidth="1"/>
    <col min="8812" max="8821" width="9.7109375" style="476" customWidth="1"/>
    <col min="8822" max="8822" width="11.140625" style="476" customWidth="1"/>
    <col min="8823" max="8823" width="9.5703125" style="476" bestFit="1" customWidth="1"/>
    <col min="8824" max="8824" width="11" style="476" customWidth="1"/>
    <col min="8825" max="8848" width="9.5703125" style="476" bestFit="1" customWidth="1"/>
    <col min="8849" max="8854" width="9.7109375" style="476" customWidth="1"/>
    <col min="8855" max="8855" width="10.85546875" style="476" customWidth="1"/>
    <col min="8856" max="8856" width="11" style="476" customWidth="1"/>
    <col min="8857" max="8870" width="9.5703125" style="476" bestFit="1" customWidth="1"/>
    <col min="8871" max="8960" width="9.140625" style="476"/>
    <col min="8961" max="8961" width="3.5703125" style="476" customWidth="1"/>
    <col min="8962" max="8962" width="9.140625" style="476"/>
    <col min="8963" max="8963" width="13.42578125" style="476" customWidth="1"/>
    <col min="8964" max="8964" width="12.42578125" style="476" customWidth="1"/>
    <col min="8965" max="8965" width="14" style="476" customWidth="1"/>
    <col min="8966" max="8966" width="13.140625" style="476" customWidth="1"/>
    <col min="8967" max="8967" width="13.5703125" style="476" customWidth="1"/>
    <col min="8968" max="8968" width="13.140625" style="476" customWidth="1"/>
    <col min="8969" max="8969" width="13.28515625" style="476" customWidth="1"/>
    <col min="8970" max="8970" width="12.42578125" style="476" customWidth="1"/>
    <col min="8971" max="8971" width="12.85546875" style="476" customWidth="1"/>
    <col min="8972" max="8972" width="12.5703125" style="476" customWidth="1"/>
    <col min="8973" max="8974" width="13.28515625" style="476" customWidth="1"/>
    <col min="8975" max="8975" width="10" style="476" bestFit="1" customWidth="1"/>
    <col min="8976" max="8982" width="9.140625" style="476"/>
    <col min="8983" max="8983" width="9.5703125" style="476" bestFit="1" customWidth="1"/>
    <col min="8984" max="9066" width="9.140625" style="476"/>
    <col min="9067" max="9067" width="9.5703125" style="476" bestFit="1" customWidth="1"/>
    <col min="9068" max="9077" width="9.7109375" style="476" customWidth="1"/>
    <col min="9078" max="9078" width="11.140625" style="476" customWidth="1"/>
    <col min="9079" max="9079" width="9.5703125" style="476" bestFit="1" customWidth="1"/>
    <col min="9080" max="9080" width="11" style="476" customWidth="1"/>
    <col min="9081" max="9104" width="9.5703125" style="476" bestFit="1" customWidth="1"/>
    <col min="9105" max="9110" width="9.7109375" style="476" customWidth="1"/>
    <col min="9111" max="9111" width="10.85546875" style="476" customWidth="1"/>
    <col min="9112" max="9112" width="11" style="476" customWidth="1"/>
    <col min="9113" max="9126" width="9.5703125" style="476" bestFit="1" customWidth="1"/>
    <col min="9127" max="9216" width="9.140625" style="476"/>
    <col min="9217" max="9217" width="3.5703125" style="476" customWidth="1"/>
    <col min="9218" max="9218" width="9.140625" style="476"/>
    <col min="9219" max="9219" width="13.42578125" style="476" customWidth="1"/>
    <col min="9220" max="9220" width="12.42578125" style="476" customWidth="1"/>
    <col min="9221" max="9221" width="14" style="476" customWidth="1"/>
    <col min="9222" max="9222" width="13.140625" style="476" customWidth="1"/>
    <col min="9223" max="9223" width="13.5703125" style="476" customWidth="1"/>
    <col min="9224" max="9224" width="13.140625" style="476" customWidth="1"/>
    <col min="9225" max="9225" width="13.28515625" style="476" customWidth="1"/>
    <col min="9226" max="9226" width="12.42578125" style="476" customWidth="1"/>
    <col min="9227" max="9227" width="12.85546875" style="476" customWidth="1"/>
    <col min="9228" max="9228" width="12.5703125" style="476" customWidth="1"/>
    <col min="9229" max="9230" width="13.28515625" style="476" customWidth="1"/>
    <col min="9231" max="9231" width="10" style="476" bestFit="1" customWidth="1"/>
    <col min="9232" max="9238" width="9.140625" style="476"/>
    <col min="9239" max="9239" width="9.5703125" style="476" bestFit="1" customWidth="1"/>
    <col min="9240" max="9322" width="9.140625" style="476"/>
    <col min="9323" max="9323" width="9.5703125" style="476" bestFit="1" customWidth="1"/>
    <col min="9324" max="9333" width="9.7109375" style="476" customWidth="1"/>
    <col min="9334" max="9334" width="11.140625" style="476" customWidth="1"/>
    <col min="9335" max="9335" width="9.5703125" style="476" bestFit="1" customWidth="1"/>
    <col min="9336" max="9336" width="11" style="476" customWidth="1"/>
    <col min="9337" max="9360" width="9.5703125" style="476" bestFit="1" customWidth="1"/>
    <col min="9361" max="9366" width="9.7109375" style="476" customWidth="1"/>
    <col min="9367" max="9367" width="10.85546875" style="476" customWidth="1"/>
    <col min="9368" max="9368" width="11" style="476" customWidth="1"/>
    <col min="9369" max="9382" width="9.5703125" style="476" bestFit="1" customWidth="1"/>
    <col min="9383" max="9472" width="9.140625" style="476"/>
    <col min="9473" max="9473" width="3.5703125" style="476" customWidth="1"/>
    <col min="9474" max="9474" width="9.140625" style="476"/>
    <col min="9475" max="9475" width="13.42578125" style="476" customWidth="1"/>
    <col min="9476" max="9476" width="12.42578125" style="476" customWidth="1"/>
    <col min="9477" max="9477" width="14" style="476" customWidth="1"/>
    <col min="9478" max="9478" width="13.140625" style="476" customWidth="1"/>
    <col min="9479" max="9479" width="13.5703125" style="476" customWidth="1"/>
    <col min="9480" max="9480" width="13.140625" style="476" customWidth="1"/>
    <col min="9481" max="9481" width="13.28515625" style="476" customWidth="1"/>
    <col min="9482" max="9482" width="12.42578125" style="476" customWidth="1"/>
    <col min="9483" max="9483" width="12.85546875" style="476" customWidth="1"/>
    <col min="9484" max="9484" width="12.5703125" style="476" customWidth="1"/>
    <col min="9485" max="9486" width="13.28515625" style="476" customWidth="1"/>
    <col min="9487" max="9487" width="10" style="476" bestFit="1" customWidth="1"/>
    <col min="9488" max="9494" width="9.140625" style="476"/>
    <col min="9495" max="9495" width="9.5703125" style="476" bestFit="1" customWidth="1"/>
    <col min="9496" max="9578" width="9.140625" style="476"/>
    <col min="9579" max="9579" width="9.5703125" style="476" bestFit="1" customWidth="1"/>
    <col min="9580" max="9589" width="9.7109375" style="476" customWidth="1"/>
    <col min="9590" max="9590" width="11.140625" style="476" customWidth="1"/>
    <col min="9591" max="9591" width="9.5703125" style="476" bestFit="1" customWidth="1"/>
    <col min="9592" max="9592" width="11" style="476" customWidth="1"/>
    <col min="9593" max="9616" width="9.5703125" style="476" bestFit="1" customWidth="1"/>
    <col min="9617" max="9622" width="9.7109375" style="476" customWidth="1"/>
    <col min="9623" max="9623" width="10.85546875" style="476" customWidth="1"/>
    <col min="9624" max="9624" width="11" style="476" customWidth="1"/>
    <col min="9625" max="9638" width="9.5703125" style="476" bestFit="1" customWidth="1"/>
    <col min="9639" max="9728" width="9.140625" style="476"/>
    <col min="9729" max="9729" width="3.5703125" style="476" customWidth="1"/>
    <col min="9730" max="9730" width="9.140625" style="476"/>
    <col min="9731" max="9731" width="13.42578125" style="476" customWidth="1"/>
    <col min="9732" max="9732" width="12.42578125" style="476" customWidth="1"/>
    <col min="9733" max="9733" width="14" style="476" customWidth="1"/>
    <col min="9734" max="9734" width="13.140625" style="476" customWidth="1"/>
    <col min="9735" max="9735" width="13.5703125" style="476" customWidth="1"/>
    <col min="9736" max="9736" width="13.140625" style="476" customWidth="1"/>
    <col min="9737" max="9737" width="13.28515625" style="476" customWidth="1"/>
    <col min="9738" max="9738" width="12.42578125" style="476" customWidth="1"/>
    <col min="9739" max="9739" width="12.85546875" style="476" customWidth="1"/>
    <col min="9740" max="9740" width="12.5703125" style="476" customWidth="1"/>
    <col min="9741" max="9742" width="13.28515625" style="476" customWidth="1"/>
    <col min="9743" max="9743" width="10" style="476" bestFit="1" customWidth="1"/>
    <col min="9744" max="9750" width="9.140625" style="476"/>
    <col min="9751" max="9751" width="9.5703125" style="476" bestFit="1" customWidth="1"/>
    <col min="9752" max="9834" width="9.140625" style="476"/>
    <col min="9835" max="9835" width="9.5703125" style="476" bestFit="1" customWidth="1"/>
    <col min="9836" max="9845" width="9.7109375" style="476" customWidth="1"/>
    <col min="9846" max="9846" width="11.140625" style="476" customWidth="1"/>
    <col min="9847" max="9847" width="9.5703125" style="476" bestFit="1" customWidth="1"/>
    <col min="9848" max="9848" width="11" style="476" customWidth="1"/>
    <col min="9849" max="9872" width="9.5703125" style="476" bestFit="1" customWidth="1"/>
    <col min="9873" max="9878" width="9.7109375" style="476" customWidth="1"/>
    <col min="9879" max="9879" width="10.85546875" style="476" customWidth="1"/>
    <col min="9880" max="9880" width="11" style="476" customWidth="1"/>
    <col min="9881" max="9894" width="9.5703125" style="476" bestFit="1" customWidth="1"/>
    <col min="9895" max="9984" width="9.140625" style="476"/>
    <col min="9985" max="9985" width="3.5703125" style="476" customWidth="1"/>
    <col min="9986" max="9986" width="9.140625" style="476"/>
    <col min="9987" max="9987" width="13.42578125" style="476" customWidth="1"/>
    <col min="9988" max="9988" width="12.42578125" style="476" customWidth="1"/>
    <col min="9989" max="9989" width="14" style="476" customWidth="1"/>
    <col min="9990" max="9990" width="13.140625" style="476" customWidth="1"/>
    <col min="9991" max="9991" width="13.5703125" style="476" customWidth="1"/>
    <col min="9992" max="9992" width="13.140625" style="476" customWidth="1"/>
    <col min="9993" max="9993" width="13.28515625" style="476" customWidth="1"/>
    <col min="9994" max="9994" width="12.42578125" style="476" customWidth="1"/>
    <col min="9995" max="9995" width="12.85546875" style="476" customWidth="1"/>
    <col min="9996" max="9996" width="12.5703125" style="476" customWidth="1"/>
    <col min="9997" max="9998" width="13.28515625" style="476" customWidth="1"/>
    <col min="9999" max="9999" width="10" style="476" bestFit="1" customWidth="1"/>
    <col min="10000" max="10006" width="9.140625" style="476"/>
    <col min="10007" max="10007" width="9.5703125" style="476" bestFit="1" customWidth="1"/>
    <col min="10008" max="10090" width="9.140625" style="476"/>
    <col min="10091" max="10091" width="9.5703125" style="476" bestFit="1" customWidth="1"/>
    <col min="10092" max="10101" width="9.7109375" style="476" customWidth="1"/>
    <col min="10102" max="10102" width="11.140625" style="476" customWidth="1"/>
    <col min="10103" max="10103" width="9.5703125" style="476" bestFit="1" customWidth="1"/>
    <col min="10104" max="10104" width="11" style="476" customWidth="1"/>
    <col min="10105" max="10128" width="9.5703125" style="476" bestFit="1" customWidth="1"/>
    <col min="10129" max="10134" width="9.7109375" style="476" customWidth="1"/>
    <col min="10135" max="10135" width="10.85546875" style="476" customWidth="1"/>
    <col min="10136" max="10136" width="11" style="476" customWidth="1"/>
    <col min="10137" max="10150" width="9.5703125" style="476" bestFit="1" customWidth="1"/>
    <col min="10151" max="10240" width="9.140625" style="476"/>
    <col min="10241" max="10241" width="3.5703125" style="476" customWidth="1"/>
    <col min="10242" max="10242" width="9.140625" style="476"/>
    <col min="10243" max="10243" width="13.42578125" style="476" customWidth="1"/>
    <col min="10244" max="10244" width="12.42578125" style="476" customWidth="1"/>
    <col min="10245" max="10245" width="14" style="476" customWidth="1"/>
    <col min="10246" max="10246" width="13.140625" style="476" customWidth="1"/>
    <col min="10247" max="10247" width="13.5703125" style="476" customWidth="1"/>
    <col min="10248" max="10248" width="13.140625" style="476" customWidth="1"/>
    <col min="10249" max="10249" width="13.28515625" style="476" customWidth="1"/>
    <col min="10250" max="10250" width="12.42578125" style="476" customWidth="1"/>
    <col min="10251" max="10251" width="12.85546875" style="476" customWidth="1"/>
    <col min="10252" max="10252" width="12.5703125" style="476" customWidth="1"/>
    <col min="10253" max="10254" width="13.28515625" style="476" customWidth="1"/>
    <col min="10255" max="10255" width="10" style="476" bestFit="1" customWidth="1"/>
    <col min="10256" max="10262" width="9.140625" style="476"/>
    <col min="10263" max="10263" width="9.5703125" style="476" bestFit="1" customWidth="1"/>
    <col min="10264" max="10346" width="9.140625" style="476"/>
    <col min="10347" max="10347" width="9.5703125" style="476" bestFit="1" customWidth="1"/>
    <col min="10348" max="10357" width="9.7109375" style="476" customWidth="1"/>
    <col min="10358" max="10358" width="11.140625" style="476" customWidth="1"/>
    <col min="10359" max="10359" width="9.5703125" style="476" bestFit="1" customWidth="1"/>
    <col min="10360" max="10360" width="11" style="476" customWidth="1"/>
    <col min="10361" max="10384" width="9.5703125" style="476" bestFit="1" customWidth="1"/>
    <col min="10385" max="10390" width="9.7109375" style="476" customWidth="1"/>
    <col min="10391" max="10391" width="10.85546875" style="476" customWidth="1"/>
    <col min="10392" max="10392" width="11" style="476" customWidth="1"/>
    <col min="10393" max="10406" width="9.5703125" style="476" bestFit="1" customWidth="1"/>
    <col min="10407" max="10496" width="9.140625" style="476"/>
    <col min="10497" max="10497" width="3.5703125" style="476" customWidth="1"/>
    <col min="10498" max="10498" width="9.140625" style="476"/>
    <col min="10499" max="10499" width="13.42578125" style="476" customWidth="1"/>
    <col min="10500" max="10500" width="12.42578125" style="476" customWidth="1"/>
    <col min="10501" max="10501" width="14" style="476" customWidth="1"/>
    <col min="10502" max="10502" width="13.140625" style="476" customWidth="1"/>
    <col min="10503" max="10503" width="13.5703125" style="476" customWidth="1"/>
    <col min="10504" max="10504" width="13.140625" style="476" customWidth="1"/>
    <col min="10505" max="10505" width="13.28515625" style="476" customWidth="1"/>
    <col min="10506" max="10506" width="12.42578125" style="476" customWidth="1"/>
    <col min="10507" max="10507" width="12.85546875" style="476" customWidth="1"/>
    <col min="10508" max="10508" width="12.5703125" style="476" customWidth="1"/>
    <col min="10509" max="10510" width="13.28515625" style="476" customWidth="1"/>
    <col min="10511" max="10511" width="10" style="476" bestFit="1" customWidth="1"/>
    <col min="10512" max="10518" width="9.140625" style="476"/>
    <col min="10519" max="10519" width="9.5703125" style="476" bestFit="1" customWidth="1"/>
    <col min="10520" max="10602" width="9.140625" style="476"/>
    <col min="10603" max="10603" width="9.5703125" style="476" bestFit="1" customWidth="1"/>
    <col min="10604" max="10613" width="9.7109375" style="476" customWidth="1"/>
    <col min="10614" max="10614" width="11.140625" style="476" customWidth="1"/>
    <col min="10615" max="10615" width="9.5703125" style="476" bestFit="1" customWidth="1"/>
    <col min="10616" max="10616" width="11" style="476" customWidth="1"/>
    <col min="10617" max="10640" width="9.5703125" style="476" bestFit="1" customWidth="1"/>
    <col min="10641" max="10646" width="9.7109375" style="476" customWidth="1"/>
    <col min="10647" max="10647" width="10.85546875" style="476" customWidth="1"/>
    <col min="10648" max="10648" width="11" style="476" customWidth="1"/>
    <col min="10649" max="10662" width="9.5703125" style="476" bestFit="1" customWidth="1"/>
    <col min="10663" max="10752" width="9.140625" style="476"/>
    <col min="10753" max="10753" width="3.5703125" style="476" customWidth="1"/>
    <col min="10754" max="10754" width="9.140625" style="476"/>
    <col min="10755" max="10755" width="13.42578125" style="476" customWidth="1"/>
    <col min="10756" max="10756" width="12.42578125" style="476" customWidth="1"/>
    <col min="10757" max="10757" width="14" style="476" customWidth="1"/>
    <col min="10758" max="10758" width="13.140625" style="476" customWidth="1"/>
    <col min="10759" max="10759" width="13.5703125" style="476" customWidth="1"/>
    <col min="10760" max="10760" width="13.140625" style="476" customWidth="1"/>
    <col min="10761" max="10761" width="13.28515625" style="476" customWidth="1"/>
    <col min="10762" max="10762" width="12.42578125" style="476" customWidth="1"/>
    <col min="10763" max="10763" width="12.85546875" style="476" customWidth="1"/>
    <col min="10764" max="10764" width="12.5703125" style="476" customWidth="1"/>
    <col min="10765" max="10766" width="13.28515625" style="476" customWidth="1"/>
    <col min="10767" max="10767" width="10" style="476" bestFit="1" customWidth="1"/>
    <col min="10768" max="10774" width="9.140625" style="476"/>
    <col min="10775" max="10775" width="9.5703125" style="476" bestFit="1" customWidth="1"/>
    <col min="10776" max="10858" width="9.140625" style="476"/>
    <col min="10859" max="10859" width="9.5703125" style="476" bestFit="1" customWidth="1"/>
    <col min="10860" max="10869" width="9.7109375" style="476" customWidth="1"/>
    <col min="10870" max="10870" width="11.140625" style="476" customWidth="1"/>
    <col min="10871" max="10871" width="9.5703125" style="476" bestFit="1" customWidth="1"/>
    <col min="10872" max="10872" width="11" style="476" customWidth="1"/>
    <col min="10873" max="10896" width="9.5703125" style="476" bestFit="1" customWidth="1"/>
    <col min="10897" max="10902" width="9.7109375" style="476" customWidth="1"/>
    <col min="10903" max="10903" width="10.85546875" style="476" customWidth="1"/>
    <col min="10904" max="10904" width="11" style="476" customWidth="1"/>
    <col min="10905" max="10918" width="9.5703125" style="476" bestFit="1" customWidth="1"/>
    <col min="10919" max="11008" width="9.140625" style="476"/>
    <col min="11009" max="11009" width="3.5703125" style="476" customWidth="1"/>
    <col min="11010" max="11010" width="9.140625" style="476"/>
    <col min="11011" max="11011" width="13.42578125" style="476" customWidth="1"/>
    <col min="11012" max="11012" width="12.42578125" style="476" customWidth="1"/>
    <col min="11013" max="11013" width="14" style="476" customWidth="1"/>
    <col min="11014" max="11014" width="13.140625" style="476" customWidth="1"/>
    <col min="11015" max="11015" width="13.5703125" style="476" customWidth="1"/>
    <col min="11016" max="11016" width="13.140625" style="476" customWidth="1"/>
    <col min="11017" max="11017" width="13.28515625" style="476" customWidth="1"/>
    <col min="11018" max="11018" width="12.42578125" style="476" customWidth="1"/>
    <col min="11019" max="11019" width="12.85546875" style="476" customWidth="1"/>
    <col min="11020" max="11020" width="12.5703125" style="476" customWidth="1"/>
    <col min="11021" max="11022" width="13.28515625" style="476" customWidth="1"/>
    <col min="11023" max="11023" width="10" style="476" bestFit="1" customWidth="1"/>
    <col min="11024" max="11030" width="9.140625" style="476"/>
    <col min="11031" max="11031" width="9.5703125" style="476" bestFit="1" customWidth="1"/>
    <col min="11032" max="11114" width="9.140625" style="476"/>
    <col min="11115" max="11115" width="9.5703125" style="476" bestFit="1" customWidth="1"/>
    <col min="11116" max="11125" width="9.7109375" style="476" customWidth="1"/>
    <col min="11126" max="11126" width="11.140625" style="476" customWidth="1"/>
    <col min="11127" max="11127" width="9.5703125" style="476" bestFit="1" customWidth="1"/>
    <col min="11128" max="11128" width="11" style="476" customWidth="1"/>
    <col min="11129" max="11152" width="9.5703125" style="476" bestFit="1" customWidth="1"/>
    <col min="11153" max="11158" width="9.7109375" style="476" customWidth="1"/>
    <col min="11159" max="11159" width="10.85546875" style="476" customWidth="1"/>
    <col min="11160" max="11160" width="11" style="476" customWidth="1"/>
    <col min="11161" max="11174" width="9.5703125" style="476" bestFit="1" customWidth="1"/>
    <col min="11175" max="11264" width="9.140625" style="476"/>
    <col min="11265" max="11265" width="3.5703125" style="476" customWidth="1"/>
    <col min="11266" max="11266" width="9.140625" style="476"/>
    <col min="11267" max="11267" width="13.42578125" style="476" customWidth="1"/>
    <col min="11268" max="11268" width="12.42578125" style="476" customWidth="1"/>
    <col min="11269" max="11269" width="14" style="476" customWidth="1"/>
    <col min="11270" max="11270" width="13.140625" style="476" customWidth="1"/>
    <col min="11271" max="11271" width="13.5703125" style="476" customWidth="1"/>
    <col min="11272" max="11272" width="13.140625" style="476" customWidth="1"/>
    <col min="11273" max="11273" width="13.28515625" style="476" customWidth="1"/>
    <col min="11274" max="11274" width="12.42578125" style="476" customWidth="1"/>
    <col min="11275" max="11275" width="12.85546875" style="476" customWidth="1"/>
    <col min="11276" max="11276" width="12.5703125" style="476" customWidth="1"/>
    <col min="11277" max="11278" width="13.28515625" style="476" customWidth="1"/>
    <col min="11279" max="11279" width="10" style="476" bestFit="1" customWidth="1"/>
    <col min="11280" max="11286" width="9.140625" style="476"/>
    <col min="11287" max="11287" width="9.5703125" style="476" bestFit="1" customWidth="1"/>
    <col min="11288" max="11370" width="9.140625" style="476"/>
    <col min="11371" max="11371" width="9.5703125" style="476" bestFit="1" customWidth="1"/>
    <col min="11372" max="11381" width="9.7109375" style="476" customWidth="1"/>
    <col min="11382" max="11382" width="11.140625" style="476" customWidth="1"/>
    <col min="11383" max="11383" width="9.5703125" style="476" bestFit="1" customWidth="1"/>
    <col min="11384" max="11384" width="11" style="476" customWidth="1"/>
    <col min="11385" max="11408" width="9.5703125" style="476" bestFit="1" customWidth="1"/>
    <col min="11409" max="11414" width="9.7109375" style="476" customWidth="1"/>
    <col min="11415" max="11415" width="10.85546875" style="476" customWidth="1"/>
    <col min="11416" max="11416" width="11" style="476" customWidth="1"/>
    <col min="11417" max="11430" width="9.5703125" style="476" bestFit="1" customWidth="1"/>
    <col min="11431" max="11520" width="9.140625" style="476"/>
    <col min="11521" max="11521" width="3.5703125" style="476" customWidth="1"/>
    <col min="11522" max="11522" width="9.140625" style="476"/>
    <col min="11523" max="11523" width="13.42578125" style="476" customWidth="1"/>
    <col min="11524" max="11524" width="12.42578125" style="476" customWidth="1"/>
    <col min="11525" max="11525" width="14" style="476" customWidth="1"/>
    <col min="11526" max="11526" width="13.140625" style="476" customWidth="1"/>
    <col min="11527" max="11527" width="13.5703125" style="476" customWidth="1"/>
    <col min="11528" max="11528" width="13.140625" style="476" customWidth="1"/>
    <col min="11529" max="11529" width="13.28515625" style="476" customWidth="1"/>
    <col min="11530" max="11530" width="12.42578125" style="476" customWidth="1"/>
    <col min="11531" max="11531" width="12.85546875" style="476" customWidth="1"/>
    <col min="11532" max="11532" width="12.5703125" style="476" customWidth="1"/>
    <col min="11533" max="11534" width="13.28515625" style="476" customWidth="1"/>
    <col min="11535" max="11535" width="10" style="476" bestFit="1" customWidth="1"/>
    <col min="11536" max="11542" width="9.140625" style="476"/>
    <col min="11543" max="11543" width="9.5703125" style="476" bestFit="1" customWidth="1"/>
    <col min="11544" max="11626" width="9.140625" style="476"/>
    <col min="11627" max="11627" width="9.5703125" style="476" bestFit="1" customWidth="1"/>
    <col min="11628" max="11637" width="9.7109375" style="476" customWidth="1"/>
    <col min="11638" max="11638" width="11.140625" style="476" customWidth="1"/>
    <col min="11639" max="11639" width="9.5703125" style="476" bestFit="1" customWidth="1"/>
    <col min="11640" max="11640" width="11" style="476" customWidth="1"/>
    <col min="11641" max="11664" width="9.5703125" style="476" bestFit="1" customWidth="1"/>
    <col min="11665" max="11670" width="9.7109375" style="476" customWidth="1"/>
    <col min="11671" max="11671" width="10.85546875" style="476" customWidth="1"/>
    <col min="11672" max="11672" width="11" style="476" customWidth="1"/>
    <col min="11673" max="11686" width="9.5703125" style="476" bestFit="1" customWidth="1"/>
    <col min="11687" max="11776" width="9.140625" style="476"/>
    <col min="11777" max="11777" width="3.5703125" style="476" customWidth="1"/>
    <col min="11778" max="11778" width="9.140625" style="476"/>
    <col min="11779" max="11779" width="13.42578125" style="476" customWidth="1"/>
    <col min="11780" max="11780" width="12.42578125" style="476" customWidth="1"/>
    <col min="11781" max="11781" width="14" style="476" customWidth="1"/>
    <col min="11782" max="11782" width="13.140625" style="476" customWidth="1"/>
    <col min="11783" max="11783" width="13.5703125" style="476" customWidth="1"/>
    <col min="11784" max="11784" width="13.140625" style="476" customWidth="1"/>
    <col min="11785" max="11785" width="13.28515625" style="476" customWidth="1"/>
    <col min="11786" max="11786" width="12.42578125" style="476" customWidth="1"/>
    <col min="11787" max="11787" width="12.85546875" style="476" customWidth="1"/>
    <col min="11788" max="11788" width="12.5703125" style="476" customWidth="1"/>
    <col min="11789" max="11790" width="13.28515625" style="476" customWidth="1"/>
    <col min="11791" max="11791" width="10" style="476" bestFit="1" customWidth="1"/>
    <col min="11792" max="11798" width="9.140625" style="476"/>
    <col min="11799" max="11799" width="9.5703125" style="476" bestFit="1" customWidth="1"/>
    <col min="11800" max="11882" width="9.140625" style="476"/>
    <col min="11883" max="11883" width="9.5703125" style="476" bestFit="1" customWidth="1"/>
    <col min="11884" max="11893" width="9.7109375" style="476" customWidth="1"/>
    <col min="11894" max="11894" width="11.140625" style="476" customWidth="1"/>
    <col min="11895" max="11895" width="9.5703125" style="476" bestFit="1" customWidth="1"/>
    <col min="11896" max="11896" width="11" style="476" customWidth="1"/>
    <col min="11897" max="11920" width="9.5703125" style="476" bestFit="1" customWidth="1"/>
    <col min="11921" max="11926" width="9.7109375" style="476" customWidth="1"/>
    <col min="11927" max="11927" width="10.85546875" style="476" customWidth="1"/>
    <col min="11928" max="11928" width="11" style="476" customWidth="1"/>
    <col min="11929" max="11942" width="9.5703125" style="476" bestFit="1" customWidth="1"/>
    <col min="11943" max="12032" width="9.140625" style="476"/>
    <col min="12033" max="12033" width="3.5703125" style="476" customWidth="1"/>
    <col min="12034" max="12034" width="9.140625" style="476"/>
    <col min="12035" max="12035" width="13.42578125" style="476" customWidth="1"/>
    <col min="12036" max="12036" width="12.42578125" style="476" customWidth="1"/>
    <col min="12037" max="12037" width="14" style="476" customWidth="1"/>
    <col min="12038" max="12038" width="13.140625" style="476" customWidth="1"/>
    <col min="12039" max="12039" width="13.5703125" style="476" customWidth="1"/>
    <col min="12040" max="12040" width="13.140625" style="476" customWidth="1"/>
    <col min="12041" max="12041" width="13.28515625" style="476" customWidth="1"/>
    <col min="12042" max="12042" width="12.42578125" style="476" customWidth="1"/>
    <col min="12043" max="12043" width="12.85546875" style="476" customWidth="1"/>
    <col min="12044" max="12044" width="12.5703125" style="476" customWidth="1"/>
    <col min="12045" max="12046" width="13.28515625" style="476" customWidth="1"/>
    <col min="12047" max="12047" width="10" style="476" bestFit="1" customWidth="1"/>
    <col min="12048" max="12054" width="9.140625" style="476"/>
    <col min="12055" max="12055" width="9.5703125" style="476" bestFit="1" customWidth="1"/>
    <col min="12056" max="12138" width="9.140625" style="476"/>
    <col min="12139" max="12139" width="9.5703125" style="476" bestFit="1" customWidth="1"/>
    <col min="12140" max="12149" width="9.7109375" style="476" customWidth="1"/>
    <col min="12150" max="12150" width="11.140625" style="476" customWidth="1"/>
    <col min="12151" max="12151" width="9.5703125" style="476" bestFit="1" customWidth="1"/>
    <col min="12152" max="12152" width="11" style="476" customWidth="1"/>
    <col min="12153" max="12176" width="9.5703125" style="476" bestFit="1" customWidth="1"/>
    <col min="12177" max="12182" width="9.7109375" style="476" customWidth="1"/>
    <col min="12183" max="12183" width="10.85546875" style="476" customWidth="1"/>
    <col min="12184" max="12184" width="11" style="476" customWidth="1"/>
    <col min="12185" max="12198" width="9.5703125" style="476" bestFit="1" customWidth="1"/>
    <col min="12199" max="12288" width="9.140625" style="476"/>
    <col min="12289" max="12289" width="3.5703125" style="476" customWidth="1"/>
    <col min="12290" max="12290" width="9.140625" style="476"/>
    <col min="12291" max="12291" width="13.42578125" style="476" customWidth="1"/>
    <col min="12292" max="12292" width="12.42578125" style="476" customWidth="1"/>
    <col min="12293" max="12293" width="14" style="476" customWidth="1"/>
    <col min="12294" max="12294" width="13.140625" style="476" customWidth="1"/>
    <col min="12295" max="12295" width="13.5703125" style="476" customWidth="1"/>
    <col min="12296" max="12296" width="13.140625" style="476" customWidth="1"/>
    <col min="12297" max="12297" width="13.28515625" style="476" customWidth="1"/>
    <col min="12298" max="12298" width="12.42578125" style="476" customWidth="1"/>
    <col min="12299" max="12299" width="12.85546875" style="476" customWidth="1"/>
    <col min="12300" max="12300" width="12.5703125" style="476" customWidth="1"/>
    <col min="12301" max="12302" width="13.28515625" style="476" customWidth="1"/>
    <col min="12303" max="12303" width="10" style="476" bestFit="1" customWidth="1"/>
    <col min="12304" max="12310" width="9.140625" style="476"/>
    <col min="12311" max="12311" width="9.5703125" style="476" bestFit="1" customWidth="1"/>
    <col min="12312" max="12394" width="9.140625" style="476"/>
    <col min="12395" max="12395" width="9.5703125" style="476" bestFit="1" customWidth="1"/>
    <col min="12396" max="12405" width="9.7109375" style="476" customWidth="1"/>
    <col min="12406" max="12406" width="11.140625" style="476" customWidth="1"/>
    <col min="12407" max="12407" width="9.5703125" style="476" bestFit="1" customWidth="1"/>
    <col min="12408" max="12408" width="11" style="476" customWidth="1"/>
    <col min="12409" max="12432" width="9.5703125" style="476" bestFit="1" customWidth="1"/>
    <col min="12433" max="12438" width="9.7109375" style="476" customWidth="1"/>
    <col min="12439" max="12439" width="10.85546875" style="476" customWidth="1"/>
    <col min="12440" max="12440" width="11" style="476" customWidth="1"/>
    <col min="12441" max="12454" width="9.5703125" style="476" bestFit="1" customWidth="1"/>
    <col min="12455" max="12544" width="9.140625" style="476"/>
    <col min="12545" max="12545" width="3.5703125" style="476" customWidth="1"/>
    <col min="12546" max="12546" width="9.140625" style="476"/>
    <col min="12547" max="12547" width="13.42578125" style="476" customWidth="1"/>
    <col min="12548" max="12548" width="12.42578125" style="476" customWidth="1"/>
    <col min="12549" max="12549" width="14" style="476" customWidth="1"/>
    <col min="12550" max="12550" width="13.140625" style="476" customWidth="1"/>
    <col min="12551" max="12551" width="13.5703125" style="476" customWidth="1"/>
    <col min="12552" max="12552" width="13.140625" style="476" customWidth="1"/>
    <col min="12553" max="12553" width="13.28515625" style="476" customWidth="1"/>
    <col min="12554" max="12554" width="12.42578125" style="476" customWidth="1"/>
    <col min="12555" max="12555" width="12.85546875" style="476" customWidth="1"/>
    <col min="12556" max="12556" width="12.5703125" style="476" customWidth="1"/>
    <col min="12557" max="12558" width="13.28515625" style="476" customWidth="1"/>
    <col min="12559" max="12559" width="10" style="476" bestFit="1" customWidth="1"/>
    <col min="12560" max="12566" width="9.140625" style="476"/>
    <col min="12567" max="12567" width="9.5703125" style="476" bestFit="1" customWidth="1"/>
    <col min="12568" max="12650" width="9.140625" style="476"/>
    <col min="12651" max="12651" width="9.5703125" style="476" bestFit="1" customWidth="1"/>
    <col min="12652" max="12661" width="9.7109375" style="476" customWidth="1"/>
    <col min="12662" max="12662" width="11.140625" style="476" customWidth="1"/>
    <col min="12663" max="12663" width="9.5703125" style="476" bestFit="1" customWidth="1"/>
    <col min="12664" max="12664" width="11" style="476" customWidth="1"/>
    <col min="12665" max="12688" width="9.5703125" style="476" bestFit="1" customWidth="1"/>
    <col min="12689" max="12694" width="9.7109375" style="476" customWidth="1"/>
    <col min="12695" max="12695" width="10.85546875" style="476" customWidth="1"/>
    <col min="12696" max="12696" width="11" style="476" customWidth="1"/>
    <col min="12697" max="12710" width="9.5703125" style="476" bestFit="1" customWidth="1"/>
    <col min="12711" max="12800" width="9.140625" style="476"/>
    <col min="12801" max="12801" width="3.5703125" style="476" customWidth="1"/>
    <col min="12802" max="12802" width="9.140625" style="476"/>
    <col min="12803" max="12803" width="13.42578125" style="476" customWidth="1"/>
    <col min="12804" max="12804" width="12.42578125" style="476" customWidth="1"/>
    <col min="12805" max="12805" width="14" style="476" customWidth="1"/>
    <col min="12806" max="12806" width="13.140625" style="476" customWidth="1"/>
    <col min="12807" max="12807" width="13.5703125" style="476" customWidth="1"/>
    <col min="12808" max="12808" width="13.140625" style="476" customWidth="1"/>
    <col min="12809" max="12809" width="13.28515625" style="476" customWidth="1"/>
    <col min="12810" max="12810" width="12.42578125" style="476" customWidth="1"/>
    <col min="12811" max="12811" width="12.85546875" style="476" customWidth="1"/>
    <col min="12812" max="12812" width="12.5703125" style="476" customWidth="1"/>
    <col min="12813" max="12814" width="13.28515625" style="476" customWidth="1"/>
    <col min="12815" max="12815" width="10" style="476" bestFit="1" customWidth="1"/>
    <col min="12816" max="12822" width="9.140625" style="476"/>
    <col min="12823" max="12823" width="9.5703125" style="476" bestFit="1" customWidth="1"/>
    <col min="12824" max="12906" width="9.140625" style="476"/>
    <col min="12907" max="12907" width="9.5703125" style="476" bestFit="1" customWidth="1"/>
    <col min="12908" max="12917" width="9.7109375" style="476" customWidth="1"/>
    <col min="12918" max="12918" width="11.140625" style="476" customWidth="1"/>
    <col min="12919" max="12919" width="9.5703125" style="476" bestFit="1" customWidth="1"/>
    <col min="12920" max="12920" width="11" style="476" customWidth="1"/>
    <col min="12921" max="12944" width="9.5703125" style="476" bestFit="1" customWidth="1"/>
    <col min="12945" max="12950" width="9.7109375" style="476" customWidth="1"/>
    <col min="12951" max="12951" width="10.85546875" style="476" customWidth="1"/>
    <col min="12952" max="12952" width="11" style="476" customWidth="1"/>
    <col min="12953" max="12966" width="9.5703125" style="476" bestFit="1" customWidth="1"/>
    <col min="12967" max="13056" width="9.140625" style="476"/>
    <col min="13057" max="13057" width="3.5703125" style="476" customWidth="1"/>
    <col min="13058" max="13058" width="9.140625" style="476"/>
    <col min="13059" max="13059" width="13.42578125" style="476" customWidth="1"/>
    <col min="13060" max="13060" width="12.42578125" style="476" customWidth="1"/>
    <col min="13061" max="13061" width="14" style="476" customWidth="1"/>
    <col min="13062" max="13062" width="13.140625" style="476" customWidth="1"/>
    <col min="13063" max="13063" width="13.5703125" style="476" customWidth="1"/>
    <col min="13064" max="13064" width="13.140625" style="476" customWidth="1"/>
    <col min="13065" max="13065" width="13.28515625" style="476" customWidth="1"/>
    <col min="13066" max="13066" width="12.42578125" style="476" customWidth="1"/>
    <col min="13067" max="13067" width="12.85546875" style="476" customWidth="1"/>
    <col min="13068" max="13068" width="12.5703125" style="476" customWidth="1"/>
    <col min="13069" max="13070" width="13.28515625" style="476" customWidth="1"/>
    <col min="13071" max="13071" width="10" style="476" bestFit="1" customWidth="1"/>
    <col min="13072" max="13078" width="9.140625" style="476"/>
    <col min="13079" max="13079" width="9.5703125" style="476" bestFit="1" customWidth="1"/>
    <col min="13080" max="13162" width="9.140625" style="476"/>
    <col min="13163" max="13163" width="9.5703125" style="476" bestFit="1" customWidth="1"/>
    <col min="13164" max="13173" width="9.7109375" style="476" customWidth="1"/>
    <col min="13174" max="13174" width="11.140625" style="476" customWidth="1"/>
    <col min="13175" max="13175" width="9.5703125" style="476" bestFit="1" customWidth="1"/>
    <col min="13176" max="13176" width="11" style="476" customWidth="1"/>
    <col min="13177" max="13200" width="9.5703125" style="476" bestFit="1" customWidth="1"/>
    <col min="13201" max="13206" width="9.7109375" style="476" customWidth="1"/>
    <col min="13207" max="13207" width="10.85546875" style="476" customWidth="1"/>
    <col min="13208" max="13208" width="11" style="476" customWidth="1"/>
    <col min="13209" max="13222" width="9.5703125" style="476" bestFit="1" customWidth="1"/>
    <col min="13223" max="13312" width="9.140625" style="476"/>
    <col min="13313" max="13313" width="3.5703125" style="476" customWidth="1"/>
    <col min="13314" max="13314" width="9.140625" style="476"/>
    <col min="13315" max="13315" width="13.42578125" style="476" customWidth="1"/>
    <col min="13316" max="13316" width="12.42578125" style="476" customWidth="1"/>
    <col min="13317" max="13317" width="14" style="476" customWidth="1"/>
    <col min="13318" max="13318" width="13.140625" style="476" customWidth="1"/>
    <col min="13319" max="13319" width="13.5703125" style="476" customWidth="1"/>
    <col min="13320" max="13320" width="13.140625" style="476" customWidth="1"/>
    <col min="13321" max="13321" width="13.28515625" style="476" customWidth="1"/>
    <col min="13322" max="13322" width="12.42578125" style="476" customWidth="1"/>
    <col min="13323" max="13323" width="12.85546875" style="476" customWidth="1"/>
    <col min="13324" max="13324" width="12.5703125" style="476" customWidth="1"/>
    <col min="13325" max="13326" width="13.28515625" style="476" customWidth="1"/>
    <col min="13327" max="13327" width="10" style="476" bestFit="1" customWidth="1"/>
    <col min="13328" max="13334" width="9.140625" style="476"/>
    <col min="13335" max="13335" width="9.5703125" style="476" bestFit="1" customWidth="1"/>
    <col min="13336" max="13418" width="9.140625" style="476"/>
    <col min="13419" max="13419" width="9.5703125" style="476" bestFit="1" customWidth="1"/>
    <col min="13420" max="13429" width="9.7109375" style="476" customWidth="1"/>
    <col min="13430" max="13430" width="11.140625" style="476" customWidth="1"/>
    <col min="13431" max="13431" width="9.5703125" style="476" bestFit="1" customWidth="1"/>
    <col min="13432" max="13432" width="11" style="476" customWidth="1"/>
    <col min="13433" max="13456" width="9.5703125" style="476" bestFit="1" customWidth="1"/>
    <col min="13457" max="13462" width="9.7109375" style="476" customWidth="1"/>
    <col min="13463" max="13463" width="10.85546875" style="476" customWidth="1"/>
    <col min="13464" max="13464" width="11" style="476" customWidth="1"/>
    <col min="13465" max="13478" width="9.5703125" style="476" bestFit="1" customWidth="1"/>
    <col min="13479" max="13568" width="9.140625" style="476"/>
    <col min="13569" max="13569" width="3.5703125" style="476" customWidth="1"/>
    <col min="13570" max="13570" width="9.140625" style="476"/>
    <col min="13571" max="13571" width="13.42578125" style="476" customWidth="1"/>
    <col min="13572" max="13572" width="12.42578125" style="476" customWidth="1"/>
    <col min="13573" max="13573" width="14" style="476" customWidth="1"/>
    <col min="13574" max="13574" width="13.140625" style="476" customWidth="1"/>
    <col min="13575" max="13575" width="13.5703125" style="476" customWidth="1"/>
    <col min="13576" max="13576" width="13.140625" style="476" customWidth="1"/>
    <col min="13577" max="13577" width="13.28515625" style="476" customWidth="1"/>
    <col min="13578" max="13578" width="12.42578125" style="476" customWidth="1"/>
    <col min="13579" max="13579" width="12.85546875" style="476" customWidth="1"/>
    <col min="13580" max="13580" width="12.5703125" style="476" customWidth="1"/>
    <col min="13581" max="13582" width="13.28515625" style="476" customWidth="1"/>
    <col min="13583" max="13583" width="10" style="476" bestFit="1" customWidth="1"/>
    <col min="13584" max="13590" width="9.140625" style="476"/>
    <col min="13591" max="13591" width="9.5703125" style="476" bestFit="1" customWidth="1"/>
    <col min="13592" max="13674" width="9.140625" style="476"/>
    <col min="13675" max="13675" width="9.5703125" style="476" bestFit="1" customWidth="1"/>
    <col min="13676" max="13685" width="9.7109375" style="476" customWidth="1"/>
    <col min="13686" max="13686" width="11.140625" style="476" customWidth="1"/>
    <col min="13687" max="13687" width="9.5703125" style="476" bestFit="1" customWidth="1"/>
    <col min="13688" max="13688" width="11" style="476" customWidth="1"/>
    <col min="13689" max="13712" width="9.5703125" style="476" bestFit="1" customWidth="1"/>
    <col min="13713" max="13718" width="9.7109375" style="476" customWidth="1"/>
    <col min="13719" max="13719" width="10.85546875" style="476" customWidth="1"/>
    <col min="13720" max="13720" width="11" style="476" customWidth="1"/>
    <col min="13721" max="13734" width="9.5703125" style="476" bestFit="1" customWidth="1"/>
    <col min="13735" max="13824" width="9.140625" style="476"/>
    <col min="13825" max="13825" width="3.5703125" style="476" customWidth="1"/>
    <col min="13826" max="13826" width="9.140625" style="476"/>
    <col min="13827" max="13827" width="13.42578125" style="476" customWidth="1"/>
    <col min="13828" max="13828" width="12.42578125" style="476" customWidth="1"/>
    <col min="13829" max="13829" width="14" style="476" customWidth="1"/>
    <col min="13830" max="13830" width="13.140625" style="476" customWidth="1"/>
    <col min="13831" max="13831" width="13.5703125" style="476" customWidth="1"/>
    <col min="13832" max="13832" width="13.140625" style="476" customWidth="1"/>
    <col min="13833" max="13833" width="13.28515625" style="476" customWidth="1"/>
    <col min="13834" max="13834" width="12.42578125" style="476" customWidth="1"/>
    <col min="13835" max="13835" width="12.85546875" style="476" customWidth="1"/>
    <col min="13836" max="13836" width="12.5703125" style="476" customWidth="1"/>
    <col min="13837" max="13838" width="13.28515625" style="476" customWidth="1"/>
    <col min="13839" max="13839" width="10" style="476" bestFit="1" customWidth="1"/>
    <col min="13840" max="13846" width="9.140625" style="476"/>
    <col min="13847" max="13847" width="9.5703125" style="476" bestFit="1" customWidth="1"/>
    <col min="13848" max="13930" width="9.140625" style="476"/>
    <col min="13931" max="13931" width="9.5703125" style="476" bestFit="1" customWidth="1"/>
    <col min="13932" max="13941" width="9.7109375" style="476" customWidth="1"/>
    <col min="13942" max="13942" width="11.140625" style="476" customWidth="1"/>
    <col min="13943" max="13943" width="9.5703125" style="476" bestFit="1" customWidth="1"/>
    <col min="13944" max="13944" width="11" style="476" customWidth="1"/>
    <col min="13945" max="13968" width="9.5703125" style="476" bestFit="1" customWidth="1"/>
    <col min="13969" max="13974" width="9.7109375" style="476" customWidth="1"/>
    <col min="13975" max="13975" width="10.85546875" style="476" customWidth="1"/>
    <col min="13976" max="13976" width="11" style="476" customWidth="1"/>
    <col min="13977" max="13990" width="9.5703125" style="476" bestFit="1" customWidth="1"/>
    <col min="13991" max="14080" width="9.140625" style="476"/>
    <col min="14081" max="14081" width="3.5703125" style="476" customWidth="1"/>
    <col min="14082" max="14082" width="9.140625" style="476"/>
    <col min="14083" max="14083" width="13.42578125" style="476" customWidth="1"/>
    <col min="14084" max="14084" width="12.42578125" style="476" customWidth="1"/>
    <col min="14085" max="14085" width="14" style="476" customWidth="1"/>
    <col min="14086" max="14086" width="13.140625" style="476" customWidth="1"/>
    <col min="14087" max="14087" width="13.5703125" style="476" customWidth="1"/>
    <col min="14088" max="14088" width="13.140625" style="476" customWidth="1"/>
    <col min="14089" max="14089" width="13.28515625" style="476" customWidth="1"/>
    <col min="14090" max="14090" width="12.42578125" style="476" customWidth="1"/>
    <col min="14091" max="14091" width="12.85546875" style="476" customWidth="1"/>
    <col min="14092" max="14092" width="12.5703125" style="476" customWidth="1"/>
    <col min="14093" max="14094" width="13.28515625" style="476" customWidth="1"/>
    <col min="14095" max="14095" width="10" style="476" bestFit="1" customWidth="1"/>
    <col min="14096" max="14102" width="9.140625" style="476"/>
    <col min="14103" max="14103" width="9.5703125" style="476" bestFit="1" customWidth="1"/>
    <col min="14104" max="14186" width="9.140625" style="476"/>
    <col min="14187" max="14187" width="9.5703125" style="476" bestFit="1" customWidth="1"/>
    <col min="14188" max="14197" width="9.7109375" style="476" customWidth="1"/>
    <col min="14198" max="14198" width="11.140625" style="476" customWidth="1"/>
    <col min="14199" max="14199" width="9.5703125" style="476" bestFit="1" customWidth="1"/>
    <col min="14200" max="14200" width="11" style="476" customWidth="1"/>
    <col min="14201" max="14224" width="9.5703125" style="476" bestFit="1" customWidth="1"/>
    <col min="14225" max="14230" width="9.7109375" style="476" customWidth="1"/>
    <col min="14231" max="14231" width="10.85546875" style="476" customWidth="1"/>
    <col min="14232" max="14232" width="11" style="476" customWidth="1"/>
    <col min="14233" max="14246" width="9.5703125" style="476" bestFit="1" customWidth="1"/>
    <col min="14247" max="14336" width="9.140625" style="476"/>
    <col min="14337" max="14337" width="3.5703125" style="476" customWidth="1"/>
    <col min="14338" max="14338" width="9.140625" style="476"/>
    <col min="14339" max="14339" width="13.42578125" style="476" customWidth="1"/>
    <col min="14340" max="14340" width="12.42578125" style="476" customWidth="1"/>
    <col min="14341" max="14341" width="14" style="476" customWidth="1"/>
    <col min="14342" max="14342" width="13.140625" style="476" customWidth="1"/>
    <col min="14343" max="14343" width="13.5703125" style="476" customWidth="1"/>
    <col min="14344" max="14344" width="13.140625" style="476" customWidth="1"/>
    <col min="14345" max="14345" width="13.28515625" style="476" customWidth="1"/>
    <col min="14346" max="14346" width="12.42578125" style="476" customWidth="1"/>
    <col min="14347" max="14347" width="12.85546875" style="476" customWidth="1"/>
    <col min="14348" max="14348" width="12.5703125" style="476" customWidth="1"/>
    <col min="14349" max="14350" width="13.28515625" style="476" customWidth="1"/>
    <col min="14351" max="14351" width="10" style="476" bestFit="1" customWidth="1"/>
    <col min="14352" max="14358" width="9.140625" style="476"/>
    <col min="14359" max="14359" width="9.5703125" style="476" bestFit="1" customWidth="1"/>
    <col min="14360" max="14442" width="9.140625" style="476"/>
    <col min="14443" max="14443" width="9.5703125" style="476" bestFit="1" customWidth="1"/>
    <col min="14444" max="14453" width="9.7109375" style="476" customWidth="1"/>
    <col min="14454" max="14454" width="11.140625" style="476" customWidth="1"/>
    <col min="14455" max="14455" width="9.5703125" style="476" bestFit="1" customWidth="1"/>
    <col min="14456" max="14456" width="11" style="476" customWidth="1"/>
    <col min="14457" max="14480" width="9.5703125" style="476" bestFit="1" customWidth="1"/>
    <col min="14481" max="14486" width="9.7109375" style="476" customWidth="1"/>
    <col min="14487" max="14487" width="10.85546875" style="476" customWidth="1"/>
    <col min="14488" max="14488" width="11" style="476" customWidth="1"/>
    <col min="14489" max="14502" width="9.5703125" style="476" bestFit="1" customWidth="1"/>
    <col min="14503" max="14592" width="9.140625" style="476"/>
    <col min="14593" max="14593" width="3.5703125" style="476" customWidth="1"/>
    <col min="14594" max="14594" width="9.140625" style="476"/>
    <col min="14595" max="14595" width="13.42578125" style="476" customWidth="1"/>
    <col min="14596" max="14596" width="12.42578125" style="476" customWidth="1"/>
    <col min="14597" max="14597" width="14" style="476" customWidth="1"/>
    <col min="14598" max="14598" width="13.140625" style="476" customWidth="1"/>
    <col min="14599" max="14599" width="13.5703125" style="476" customWidth="1"/>
    <col min="14600" max="14600" width="13.140625" style="476" customWidth="1"/>
    <col min="14601" max="14601" width="13.28515625" style="476" customWidth="1"/>
    <col min="14602" max="14602" width="12.42578125" style="476" customWidth="1"/>
    <col min="14603" max="14603" width="12.85546875" style="476" customWidth="1"/>
    <col min="14604" max="14604" width="12.5703125" style="476" customWidth="1"/>
    <col min="14605" max="14606" width="13.28515625" style="476" customWidth="1"/>
    <col min="14607" max="14607" width="10" style="476" bestFit="1" customWidth="1"/>
    <col min="14608" max="14614" width="9.140625" style="476"/>
    <col min="14615" max="14615" width="9.5703125" style="476" bestFit="1" customWidth="1"/>
    <col min="14616" max="14698" width="9.140625" style="476"/>
    <col min="14699" max="14699" width="9.5703125" style="476" bestFit="1" customWidth="1"/>
    <col min="14700" max="14709" width="9.7109375" style="476" customWidth="1"/>
    <col min="14710" max="14710" width="11.140625" style="476" customWidth="1"/>
    <col min="14711" max="14711" width="9.5703125" style="476" bestFit="1" customWidth="1"/>
    <col min="14712" max="14712" width="11" style="476" customWidth="1"/>
    <col min="14713" max="14736" width="9.5703125" style="476" bestFit="1" customWidth="1"/>
    <col min="14737" max="14742" width="9.7109375" style="476" customWidth="1"/>
    <col min="14743" max="14743" width="10.85546875" style="476" customWidth="1"/>
    <col min="14744" max="14744" width="11" style="476" customWidth="1"/>
    <col min="14745" max="14758" width="9.5703125" style="476" bestFit="1" customWidth="1"/>
    <col min="14759" max="14848" width="9.140625" style="476"/>
    <col min="14849" max="14849" width="3.5703125" style="476" customWidth="1"/>
    <col min="14850" max="14850" width="9.140625" style="476"/>
    <col min="14851" max="14851" width="13.42578125" style="476" customWidth="1"/>
    <col min="14852" max="14852" width="12.42578125" style="476" customWidth="1"/>
    <col min="14853" max="14853" width="14" style="476" customWidth="1"/>
    <col min="14854" max="14854" width="13.140625" style="476" customWidth="1"/>
    <col min="14855" max="14855" width="13.5703125" style="476" customWidth="1"/>
    <col min="14856" max="14856" width="13.140625" style="476" customWidth="1"/>
    <col min="14857" max="14857" width="13.28515625" style="476" customWidth="1"/>
    <col min="14858" max="14858" width="12.42578125" style="476" customWidth="1"/>
    <col min="14859" max="14859" width="12.85546875" style="476" customWidth="1"/>
    <col min="14860" max="14860" width="12.5703125" style="476" customWidth="1"/>
    <col min="14861" max="14862" width="13.28515625" style="476" customWidth="1"/>
    <col min="14863" max="14863" width="10" style="476" bestFit="1" customWidth="1"/>
    <col min="14864" max="14870" width="9.140625" style="476"/>
    <col min="14871" max="14871" width="9.5703125" style="476" bestFit="1" customWidth="1"/>
    <col min="14872" max="14954" width="9.140625" style="476"/>
    <col min="14955" max="14955" width="9.5703125" style="476" bestFit="1" customWidth="1"/>
    <col min="14956" max="14965" width="9.7109375" style="476" customWidth="1"/>
    <col min="14966" max="14966" width="11.140625" style="476" customWidth="1"/>
    <col min="14967" max="14967" width="9.5703125" style="476" bestFit="1" customWidth="1"/>
    <col min="14968" max="14968" width="11" style="476" customWidth="1"/>
    <col min="14969" max="14992" width="9.5703125" style="476" bestFit="1" customWidth="1"/>
    <col min="14993" max="14998" width="9.7109375" style="476" customWidth="1"/>
    <col min="14999" max="14999" width="10.85546875" style="476" customWidth="1"/>
    <col min="15000" max="15000" width="11" style="476" customWidth="1"/>
    <col min="15001" max="15014" width="9.5703125" style="476" bestFit="1" customWidth="1"/>
    <col min="15015" max="15104" width="9.140625" style="476"/>
    <col min="15105" max="15105" width="3.5703125" style="476" customWidth="1"/>
    <col min="15106" max="15106" width="9.140625" style="476"/>
    <col min="15107" max="15107" width="13.42578125" style="476" customWidth="1"/>
    <col min="15108" max="15108" width="12.42578125" style="476" customWidth="1"/>
    <col min="15109" max="15109" width="14" style="476" customWidth="1"/>
    <col min="15110" max="15110" width="13.140625" style="476" customWidth="1"/>
    <col min="15111" max="15111" width="13.5703125" style="476" customWidth="1"/>
    <col min="15112" max="15112" width="13.140625" style="476" customWidth="1"/>
    <col min="15113" max="15113" width="13.28515625" style="476" customWidth="1"/>
    <col min="15114" max="15114" width="12.42578125" style="476" customWidth="1"/>
    <col min="15115" max="15115" width="12.85546875" style="476" customWidth="1"/>
    <col min="15116" max="15116" width="12.5703125" style="476" customWidth="1"/>
    <col min="15117" max="15118" width="13.28515625" style="476" customWidth="1"/>
    <col min="15119" max="15119" width="10" style="476" bestFit="1" customWidth="1"/>
    <col min="15120" max="15126" width="9.140625" style="476"/>
    <col min="15127" max="15127" width="9.5703125" style="476" bestFit="1" customWidth="1"/>
    <col min="15128" max="15210" width="9.140625" style="476"/>
    <col min="15211" max="15211" width="9.5703125" style="476" bestFit="1" customWidth="1"/>
    <col min="15212" max="15221" width="9.7109375" style="476" customWidth="1"/>
    <col min="15222" max="15222" width="11.140625" style="476" customWidth="1"/>
    <col min="15223" max="15223" width="9.5703125" style="476" bestFit="1" customWidth="1"/>
    <col min="15224" max="15224" width="11" style="476" customWidth="1"/>
    <col min="15225" max="15248" width="9.5703125" style="476" bestFit="1" customWidth="1"/>
    <col min="15249" max="15254" width="9.7109375" style="476" customWidth="1"/>
    <col min="15255" max="15255" width="10.85546875" style="476" customWidth="1"/>
    <col min="15256" max="15256" width="11" style="476" customWidth="1"/>
    <col min="15257" max="15270" width="9.5703125" style="476" bestFit="1" customWidth="1"/>
    <col min="15271" max="15360" width="9.140625" style="476"/>
    <col min="15361" max="15361" width="3.5703125" style="476" customWidth="1"/>
    <col min="15362" max="15362" width="9.140625" style="476"/>
    <col min="15363" max="15363" width="13.42578125" style="476" customWidth="1"/>
    <col min="15364" max="15364" width="12.42578125" style="476" customWidth="1"/>
    <col min="15365" max="15365" width="14" style="476" customWidth="1"/>
    <col min="15366" max="15366" width="13.140625" style="476" customWidth="1"/>
    <col min="15367" max="15367" width="13.5703125" style="476" customWidth="1"/>
    <col min="15368" max="15368" width="13.140625" style="476" customWidth="1"/>
    <col min="15369" max="15369" width="13.28515625" style="476" customWidth="1"/>
    <col min="15370" max="15370" width="12.42578125" style="476" customWidth="1"/>
    <col min="15371" max="15371" width="12.85546875" style="476" customWidth="1"/>
    <col min="15372" max="15372" width="12.5703125" style="476" customWidth="1"/>
    <col min="15373" max="15374" width="13.28515625" style="476" customWidth="1"/>
    <col min="15375" max="15375" width="10" style="476" bestFit="1" customWidth="1"/>
    <col min="15376" max="15382" width="9.140625" style="476"/>
    <col min="15383" max="15383" width="9.5703125" style="476" bestFit="1" customWidth="1"/>
    <col min="15384" max="15466" width="9.140625" style="476"/>
    <col min="15467" max="15467" width="9.5703125" style="476" bestFit="1" customWidth="1"/>
    <col min="15468" max="15477" width="9.7109375" style="476" customWidth="1"/>
    <col min="15478" max="15478" width="11.140625" style="476" customWidth="1"/>
    <col min="15479" max="15479" width="9.5703125" style="476" bestFit="1" customWidth="1"/>
    <col min="15480" max="15480" width="11" style="476" customWidth="1"/>
    <col min="15481" max="15504" width="9.5703125" style="476" bestFit="1" customWidth="1"/>
    <col min="15505" max="15510" width="9.7109375" style="476" customWidth="1"/>
    <col min="15511" max="15511" width="10.85546875" style="476" customWidth="1"/>
    <col min="15512" max="15512" width="11" style="476" customWidth="1"/>
    <col min="15513" max="15526" width="9.5703125" style="476" bestFit="1" customWidth="1"/>
    <col min="15527" max="15616" width="9.140625" style="476"/>
    <col min="15617" max="15617" width="3.5703125" style="476" customWidth="1"/>
    <col min="15618" max="15618" width="9.140625" style="476"/>
    <col min="15619" max="15619" width="13.42578125" style="476" customWidth="1"/>
    <col min="15620" max="15620" width="12.42578125" style="476" customWidth="1"/>
    <col min="15621" max="15621" width="14" style="476" customWidth="1"/>
    <col min="15622" max="15622" width="13.140625" style="476" customWidth="1"/>
    <col min="15623" max="15623" width="13.5703125" style="476" customWidth="1"/>
    <col min="15624" max="15624" width="13.140625" style="476" customWidth="1"/>
    <col min="15625" max="15625" width="13.28515625" style="476" customWidth="1"/>
    <col min="15626" max="15626" width="12.42578125" style="476" customWidth="1"/>
    <col min="15627" max="15627" width="12.85546875" style="476" customWidth="1"/>
    <col min="15628" max="15628" width="12.5703125" style="476" customWidth="1"/>
    <col min="15629" max="15630" width="13.28515625" style="476" customWidth="1"/>
    <col min="15631" max="15631" width="10" style="476" bestFit="1" customWidth="1"/>
    <col min="15632" max="15638" width="9.140625" style="476"/>
    <col min="15639" max="15639" width="9.5703125" style="476" bestFit="1" customWidth="1"/>
    <col min="15640" max="15722" width="9.140625" style="476"/>
    <col min="15723" max="15723" width="9.5703125" style="476" bestFit="1" customWidth="1"/>
    <col min="15724" max="15733" width="9.7109375" style="476" customWidth="1"/>
    <col min="15734" max="15734" width="11.140625" style="476" customWidth="1"/>
    <col min="15735" max="15735" width="9.5703125" style="476" bestFit="1" customWidth="1"/>
    <col min="15736" max="15736" width="11" style="476" customWidth="1"/>
    <col min="15737" max="15760" width="9.5703125" style="476" bestFit="1" customWidth="1"/>
    <col min="15761" max="15766" width="9.7109375" style="476" customWidth="1"/>
    <col min="15767" max="15767" width="10.85546875" style="476" customWidth="1"/>
    <col min="15768" max="15768" width="11" style="476" customWidth="1"/>
    <col min="15769" max="15782" width="9.5703125" style="476" bestFit="1" customWidth="1"/>
    <col min="15783" max="15872" width="9.140625" style="476"/>
    <col min="15873" max="15873" width="3.5703125" style="476" customWidth="1"/>
    <col min="15874" max="15874" width="9.140625" style="476"/>
    <col min="15875" max="15875" width="13.42578125" style="476" customWidth="1"/>
    <col min="15876" max="15876" width="12.42578125" style="476" customWidth="1"/>
    <col min="15877" max="15877" width="14" style="476" customWidth="1"/>
    <col min="15878" max="15878" width="13.140625" style="476" customWidth="1"/>
    <col min="15879" max="15879" width="13.5703125" style="476" customWidth="1"/>
    <col min="15880" max="15880" width="13.140625" style="476" customWidth="1"/>
    <col min="15881" max="15881" width="13.28515625" style="476" customWidth="1"/>
    <col min="15882" max="15882" width="12.42578125" style="476" customWidth="1"/>
    <col min="15883" max="15883" width="12.85546875" style="476" customWidth="1"/>
    <col min="15884" max="15884" width="12.5703125" style="476" customWidth="1"/>
    <col min="15885" max="15886" width="13.28515625" style="476" customWidth="1"/>
    <col min="15887" max="15887" width="10" style="476" bestFit="1" customWidth="1"/>
    <col min="15888" max="15894" width="9.140625" style="476"/>
    <col min="15895" max="15895" width="9.5703125" style="476" bestFit="1" customWidth="1"/>
    <col min="15896" max="15978" width="9.140625" style="476"/>
    <col min="15979" max="15979" width="9.5703125" style="476" bestFit="1" customWidth="1"/>
    <col min="15980" max="15989" width="9.7109375" style="476" customWidth="1"/>
    <col min="15990" max="15990" width="11.140625" style="476" customWidth="1"/>
    <col min="15991" max="15991" width="9.5703125" style="476" bestFit="1" customWidth="1"/>
    <col min="15992" max="15992" width="11" style="476" customWidth="1"/>
    <col min="15993" max="16016" width="9.5703125" style="476" bestFit="1" customWidth="1"/>
    <col min="16017" max="16022" width="9.7109375" style="476" customWidth="1"/>
    <col min="16023" max="16023" width="10.85546875" style="476" customWidth="1"/>
    <col min="16024" max="16024" width="11" style="476" customWidth="1"/>
    <col min="16025" max="16038" width="9.5703125" style="476" bestFit="1" customWidth="1"/>
    <col min="16039" max="16128" width="9.140625" style="476"/>
    <col min="16129" max="16129" width="3.5703125" style="476" customWidth="1"/>
    <col min="16130" max="16130" width="9.140625" style="476"/>
    <col min="16131" max="16131" width="13.42578125" style="476" customWidth="1"/>
    <col min="16132" max="16132" width="12.42578125" style="476" customWidth="1"/>
    <col min="16133" max="16133" width="14" style="476" customWidth="1"/>
    <col min="16134" max="16134" width="13.140625" style="476" customWidth="1"/>
    <col min="16135" max="16135" width="13.5703125" style="476" customWidth="1"/>
    <col min="16136" max="16136" width="13.140625" style="476" customWidth="1"/>
    <col min="16137" max="16137" width="13.28515625" style="476" customWidth="1"/>
    <col min="16138" max="16138" width="12.42578125" style="476" customWidth="1"/>
    <col min="16139" max="16139" width="12.85546875" style="476" customWidth="1"/>
    <col min="16140" max="16140" width="12.5703125" style="476" customWidth="1"/>
    <col min="16141" max="16142" width="13.28515625" style="476" customWidth="1"/>
    <col min="16143" max="16143" width="10" style="476" bestFit="1" customWidth="1"/>
    <col min="16144" max="16150" width="9.140625" style="476"/>
    <col min="16151" max="16151" width="9.5703125" style="476" bestFit="1" customWidth="1"/>
    <col min="16152" max="16234" width="9.140625" style="476"/>
    <col min="16235" max="16235" width="9.5703125" style="476" bestFit="1" customWidth="1"/>
    <col min="16236" max="16245" width="9.7109375" style="476" customWidth="1"/>
    <col min="16246" max="16246" width="11.140625" style="476" customWidth="1"/>
    <col min="16247" max="16247" width="9.5703125" style="476" bestFit="1" customWidth="1"/>
    <col min="16248" max="16248" width="11" style="476" customWidth="1"/>
    <col min="16249" max="16272" width="9.5703125" style="476" bestFit="1" customWidth="1"/>
    <col min="16273" max="16278" width="9.7109375" style="476" customWidth="1"/>
    <col min="16279" max="16279" width="10.85546875" style="476" customWidth="1"/>
    <col min="16280" max="16280" width="11" style="476" customWidth="1"/>
    <col min="16281" max="16294" width="9.5703125" style="476" bestFit="1" customWidth="1"/>
    <col min="16295" max="16384" width="9.140625" style="476"/>
  </cols>
  <sheetData>
    <row r="2" spans="2:166" ht="18.75" x14ac:dyDescent="0.3">
      <c r="B2" s="477" t="s">
        <v>283</v>
      </c>
      <c r="D2" s="478"/>
    </row>
    <row r="4" spans="2:166" ht="15" x14ac:dyDescent="0.25">
      <c r="B4" s="479" t="s">
        <v>284</v>
      </c>
      <c r="C4" s="480" t="s">
        <v>285</v>
      </c>
      <c r="D4" s="480" t="s">
        <v>286</v>
      </c>
      <c r="E4" s="480" t="s">
        <v>287</v>
      </c>
      <c r="F4" s="480" t="s">
        <v>288</v>
      </c>
      <c r="G4" s="480" t="s">
        <v>289</v>
      </c>
      <c r="H4" s="480" t="s">
        <v>290</v>
      </c>
      <c r="I4" s="480" t="s">
        <v>291</v>
      </c>
      <c r="J4" s="480" t="s">
        <v>292</v>
      </c>
      <c r="K4" s="480" t="s">
        <v>293</v>
      </c>
      <c r="L4" s="480" t="s">
        <v>294</v>
      </c>
      <c r="M4" s="480" t="s">
        <v>295</v>
      </c>
      <c r="N4" s="480" t="s">
        <v>296</v>
      </c>
      <c r="O4" s="480" t="s">
        <v>297</v>
      </c>
      <c r="W4" s="481" t="s">
        <v>298</v>
      </c>
      <c r="X4" s="481" t="s">
        <v>299</v>
      </c>
      <c r="Y4" s="481" t="s">
        <v>300</v>
      </c>
      <c r="Z4" s="481" t="s">
        <v>301</v>
      </c>
      <c r="AA4" s="481" t="s">
        <v>302</v>
      </c>
      <c r="AB4" s="481" t="s">
        <v>303</v>
      </c>
      <c r="AC4" s="481" t="s">
        <v>304</v>
      </c>
      <c r="AD4" s="481" t="s">
        <v>305</v>
      </c>
      <c r="AE4" s="481" t="s">
        <v>306</v>
      </c>
      <c r="AF4" s="481" t="s">
        <v>307</v>
      </c>
      <c r="AG4" s="481" t="s">
        <v>308</v>
      </c>
      <c r="AH4" s="481" t="s">
        <v>309</v>
      </c>
      <c r="AI4" s="481" t="s">
        <v>310</v>
      </c>
      <c r="AJ4" s="481" t="s">
        <v>311</v>
      </c>
      <c r="AK4" s="481" t="s">
        <v>312</v>
      </c>
      <c r="AL4" s="481" t="s">
        <v>313</v>
      </c>
      <c r="AM4" s="481" t="s">
        <v>314</v>
      </c>
      <c r="AN4" s="481" t="s">
        <v>315</v>
      </c>
      <c r="AO4" s="481" t="s">
        <v>316</v>
      </c>
      <c r="AP4" s="481" t="s">
        <v>317</v>
      </c>
      <c r="AQ4" s="481" t="s">
        <v>318</v>
      </c>
      <c r="AR4" s="481" t="s">
        <v>319</v>
      </c>
      <c r="AS4" s="481" t="s">
        <v>320</v>
      </c>
      <c r="AT4" s="481" t="s">
        <v>321</v>
      </c>
      <c r="AU4" s="481" t="s">
        <v>322</v>
      </c>
      <c r="AV4" s="481" t="s">
        <v>323</v>
      </c>
      <c r="AW4" s="481" t="s">
        <v>324</v>
      </c>
      <c r="AX4" s="481" t="s">
        <v>325</v>
      </c>
      <c r="AY4" s="481" t="s">
        <v>326</v>
      </c>
      <c r="AZ4" s="481" t="s">
        <v>327</v>
      </c>
      <c r="BA4" s="481" t="s">
        <v>328</v>
      </c>
      <c r="BB4" s="481" t="s">
        <v>329</v>
      </c>
      <c r="BC4" s="481" t="s">
        <v>330</v>
      </c>
      <c r="BD4" s="481" t="s">
        <v>331</v>
      </c>
      <c r="BE4" s="481" t="s">
        <v>332</v>
      </c>
      <c r="BF4" s="481" t="s">
        <v>333</v>
      </c>
      <c r="BG4" s="481" t="s">
        <v>334</v>
      </c>
      <c r="BH4" s="481" t="s">
        <v>335</v>
      </c>
      <c r="BI4" s="481" t="s">
        <v>336</v>
      </c>
      <c r="BJ4" s="481" t="s">
        <v>337</v>
      </c>
      <c r="BK4" s="481" t="s">
        <v>338</v>
      </c>
      <c r="BL4" s="481" t="s">
        <v>339</v>
      </c>
      <c r="BM4" s="481" t="s">
        <v>340</v>
      </c>
      <c r="BN4" s="481" t="s">
        <v>341</v>
      </c>
      <c r="BO4" s="481" t="s">
        <v>342</v>
      </c>
      <c r="BP4" s="481" t="s">
        <v>343</v>
      </c>
      <c r="BQ4" s="481" t="s">
        <v>344</v>
      </c>
      <c r="BR4" s="481" t="s">
        <v>345</v>
      </c>
      <c r="BS4" s="481" t="s">
        <v>346</v>
      </c>
      <c r="BT4" s="481" t="s">
        <v>347</v>
      </c>
      <c r="BU4" s="481" t="s">
        <v>348</v>
      </c>
      <c r="BV4" s="481" t="s">
        <v>349</v>
      </c>
      <c r="BW4" s="481" t="s">
        <v>350</v>
      </c>
      <c r="BX4" s="481" t="s">
        <v>351</v>
      </c>
      <c r="BY4" s="481" t="s">
        <v>352</v>
      </c>
      <c r="BZ4" s="481" t="s">
        <v>353</v>
      </c>
      <c r="CA4" s="481" t="s">
        <v>354</v>
      </c>
      <c r="CB4" s="481" t="s">
        <v>355</v>
      </c>
      <c r="CC4" s="481" t="s">
        <v>356</v>
      </c>
      <c r="CD4" s="481" t="s">
        <v>357</v>
      </c>
      <c r="CE4" s="481" t="s">
        <v>358</v>
      </c>
      <c r="CF4" s="481" t="s">
        <v>359</v>
      </c>
      <c r="CG4" s="481" t="s">
        <v>360</v>
      </c>
      <c r="CH4" s="481" t="s">
        <v>361</v>
      </c>
      <c r="CI4" s="481" t="s">
        <v>362</v>
      </c>
      <c r="CJ4" s="481" t="s">
        <v>363</v>
      </c>
      <c r="CK4" s="481" t="s">
        <v>364</v>
      </c>
      <c r="CL4" s="481" t="s">
        <v>365</v>
      </c>
      <c r="CM4" s="481" t="s">
        <v>366</v>
      </c>
      <c r="CN4" s="481" t="s">
        <v>367</v>
      </c>
      <c r="CO4" s="481" t="s">
        <v>368</v>
      </c>
      <c r="CP4" s="481" t="s">
        <v>369</v>
      </c>
      <c r="CQ4" s="481" t="s">
        <v>370</v>
      </c>
      <c r="CR4" s="481" t="s">
        <v>371</v>
      </c>
      <c r="CS4" s="481" t="s">
        <v>372</v>
      </c>
      <c r="CT4" s="481" t="s">
        <v>373</v>
      </c>
      <c r="CU4" s="481" t="s">
        <v>374</v>
      </c>
      <c r="CV4" s="481" t="s">
        <v>375</v>
      </c>
      <c r="CW4" s="481" t="s">
        <v>376</v>
      </c>
      <c r="CX4" s="481" t="s">
        <v>377</v>
      </c>
      <c r="CY4" s="481" t="s">
        <v>378</v>
      </c>
      <c r="CZ4" s="481" t="s">
        <v>379</v>
      </c>
      <c r="DA4" s="481" t="s">
        <v>380</v>
      </c>
      <c r="DB4" s="481" t="s">
        <v>381</v>
      </c>
      <c r="DC4" s="481" t="s">
        <v>382</v>
      </c>
      <c r="DD4" s="481" t="s">
        <v>383</v>
      </c>
      <c r="DE4" s="481" t="s">
        <v>384</v>
      </c>
      <c r="DF4" s="481" t="s">
        <v>385</v>
      </c>
      <c r="DG4" s="481" t="s">
        <v>386</v>
      </c>
      <c r="DH4" s="481" t="s">
        <v>387</v>
      </c>
      <c r="DI4" s="481" t="s">
        <v>388</v>
      </c>
      <c r="DJ4" s="481" t="s">
        <v>389</v>
      </c>
      <c r="DK4" s="481" t="s">
        <v>390</v>
      </c>
      <c r="DL4" s="481" t="s">
        <v>391</v>
      </c>
      <c r="DM4" s="481" t="s">
        <v>392</v>
      </c>
      <c r="DN4" s="481" t="s">
        <v>393</v>
      </c>
      <c r="DO4" s="481" t="s">
        <v>394</v>
      </c>
      <c r="DP4" s="481" t="s">
        <v>395</v>
      </c>
      <c r="DQ4" s="481" t="s">
        <v>396</v>
      </c>
      <c r="DR4" s="481" t="s">
        <v>397</v>
      </c>
      <c r="DS4" s="481" t="s">
        <v>398</v>
      </c>
      <c r="DT4" s="481" t="s">
        <v>399</v>
      </c>
      <c r="DU4" s="481" t="s">
        <v>400</v>
      </c>
      <c r="DV4" s="481" t="s">
        <v>401</v>
      </c>
      <c r="DW4" s="481" t="s">
        <v>402</v>
      </c>
      <c r="DX4" s="481" t="s">
        <v>403</v>
      </c>
      <c r="DY4" s="481" t="s">
        <v>404</v>
      </c>
      <c r="DZ4" s="481" t="s">
        <v>405</v>
      </c>
      <c r="EA4" s="482">
        <v>42736</v>
      </c>
      <c r="EB4" s="482">
        <v>42767</v>
      </c>
      <c r="EC4" s="482">
        <v>42795</v>
      </c>
      <c r="ED4" s="482">
        <v>42826</v>
      </c>
      <c r="EE4" s="482">
        <v>42856</v>
      </c>
      <c r="EF4" s="482">
        <v>42887</v>
      </c>
      <c r="EG4" s="482">
        <v>42917</v>
      </c>
      <c r="EH4" s="482">
        <v>42948</v>
      </c>
      <c r="EI4" s="482">
        <v>42979</v>
      </c>
      <c r="EJ4" s="482">
        <v>43009</v>
      </c>
      <c r="EK4" s="482">
        <v>43040</v>
      </c>
      <c r="EL4" s="482">
        <v>43070</v>
      </c>
      <c r="EM4" s="482">
        <v>43101</v>
      </c>
      <c r="EN4" s="482">
        <v>43132</v>
      </c>
      <c r="EO4" s="482">
        <v>43160</v>
      </c>
      <c r="EP4" s="482">
        <v>43191</v>
      </c>
      <c r="EQ4" s="482">
        <v>43221</v>
      </c>
      <c r="ER4" s="482">
        <v>43252</v>
      </c>
      <c r="ES4" s="482">
        <v>43282</v>
      </c>
      <c r="ET4" s="482">
        <v>43313</v>
      </c>
      <c r="EU4" s="482">
        <v>43344</v>
      </c>
      <c r="EV4" s="482">
        <v>43374</v>
      </c>
      <c r="EW4" s="482">
        <v>43405</v>
      </c>
      <c r="EX4" s="482">
        <v>43435</v>
      </c>
      <c r="EY4" s="482">
        <v>43466</v>
      </c>
      <c r="EZ4" s="482">
        <v>43497</v>
      </c>
      <c r="FA4" s="482">
        <v>43525</v>
      </c>
      <c r="FB4" s="482">
        <v>43556</v>
      </c>
      <c r="FC4" s="482">
        <v>43586</v>
      </c>
      <c r="FD4" s="482">
        <v>43617</v>
      </c>
      <c r="FE4" s="482">
        <v>43647</v>
      </c>
      <c r="FF4" s="482">
        <v>43678</v>
      </c>
      <c r="FG4" s="482">
        <v>43709</v>
      </c>
      <c r="FH4" s="482">
        <v>43739</v>
      </c>
      <c r="FI4" s="482">
        <v>43770</v>
      </c>
      <c r="FJ4" s="482">
        <v>43800</v>
      </c>
    </row>
    <row r="5" spans="2:166" ht="15" x14ac:dyDescent="0.25">
      <c r="B5" s="479">
        <v>2008</v>
      </c>
      <c r="C5" s="483">
        <v>0.1346</v>
      </c>
      <c r="D5" s="483">
        <v>0.17730000000000001</v>
      </c>
      <c r="E5" s="483">
        <v>0.18229999999999999</v>
      </c>
      <c r="F5" s="483">
        <v>0.18160000000000001</v>
      </c>
      <c r="G5" s="483">
        <v>0.18709999999999999</v>
      </c>
      <c r="H5" s="483">
        <v>0.2414</v>
      </c>
      <c r="I5" s="483">
        <v>0.24940000000000001</v>
      </c>
      <c r="J5" s="483">
        <v>0.28460000000000002</v>
      </c>
      <c r="K5" s="483">
        <v>0.28062999999999999</v>
      </c>
      <c r="L5" s="483">
        <v>0.29099999999999998</v>
      </c>
      <c r="M5" s="484">
        <v>0.26779999999999998</v>
      </c>
      <c r="N5" s="484">
        <v>0.23519999999999999</v>
      </c>
      <c r="O5" s="484">
        <f t="shared" ref="O5:O17" si="0">AVERAGE(C5:N5)</f>
        <v>0.22607749999999996</v>
      </c>
      <c r="W5" s="485">
        <f>C5</f>
        <v>0.1346</v>
      </c>
      <c r="X5" s="485">
        <f t="shared" ref="X5:AH5" si="1">D5</f>
        <v>0.17730000000000001</v>
      </c>
      <c r="Y5" s="485">
        <f t="shared" si="1"/>
        <v>0.18229999999999999</v>
      </c>
      <c r="Z5" s="485">
        <f t="shared" si="1"/>
        <v>0.18160000000000001</v>
      </c>
      <c r="AA5" s="485">
        <f t="shared" si="1"/>
        <v>0.18709999999999999</v>
      </c>
      <c r="AB5" s="485">
        <f t="shared" si="1"/>
        <v>0.2414</v>
      </c>
      <c r="AC5" s="485">
        <f t="shared" si="1"/>
        <v>0.24940000000000001</v>
      </c>
      <c r="AD5" s="485">
        <f t="shared" si="1"/>
        <v>0.28460000000000002</v>
      </c>
      <c r="AE5" s="485">
        <f t="shared" si="1"/>
        <v>0.28062999999999999</v>
      </c>
      <c r="AF5" s="485">
        <f t="shared" si="1"/>
        <v>0.29099999999999998</v>
      </c>
      <c r="AG5" s="485">
        <f t="shared" si="1"/>
        <v>0.26779999999999998</v>
      </c>
      <c r="AH5" s="485">
        <f t="shared" si="1"/>
        <v>0.23519999999999999</v>
      </c>
      <c r="AI5" s="485">
        <f>C6</f>
        <v>0.23519999999999999</v>
      </c>
      <c r="AJ5" s="485">
        <f t="shared" ref="AJ5:AT5" si="2">D6</f>
        <v>0.1608</v>
      </c>
      <c r="AK5" s="485">
        <f t="shared" si="2"/>
        <v>0.1138</v>
      </c>
      <c r="AL5" s="485">
        <f t="shared" si="2"/>
        <v>9.0120000000000006E-2</v>
      </c>
      <c r="AM5" s="485">
        <f t="shared" si="2"/>
        <v>8.9099999999999999E-2</v>
      </c>
      <c r="AN5" s="485">
        <f t="shared" si="2"/>
        <v>8.6599999999999996E-2</v>
      </c>
      <c r="AO5" s="485">
        <f t="shared" si="2"/>
        <v>8.8156999999999999E-2</v>
      </c>
      <c r="AP5" s="485">
        <f t="shared" si="2"/>
        <v>8.8156999999999999E-2</v>
      </c>
      <c r="AQ5" s="485">
        <f t="shared" si="2"/>
        <v>0.12819900000000001</v>
      </c>
      <c r="AR5" s="485">
        <f t="shared" si="2"/>
        <v>0.14682300000000001</v>
      </c>
      <c r="AS5" s="485">
        <f t="shared" si="2"/>
        <v>0.13339200000000001</v>
      </c>
      <c r="AT5" s="485">
        <f t="shared" si="2"/>
        <v>0.13339200000000001</v>
      </c>
      <c r="AU5" s="485">
        <f>C7</f>
        <v>0.151146</v>
      </c>
      <c r="AV5" s="485">
        <f t="shared" ref="AV5:BF5" si="3">D7</f>
        <v>0.14732500000000001</v>
      </c>
      <c r="AW5" s="485">
        <f t="shared" si="3"/>
        <v>0.14923600000000001</v>
      </c>
      <c r="AX5" s="485">
        <f t="shared" si="3"/>
        <v>0.14553199999999999</v>
      </c>
      <c r="AY5" s="485">
        <f t="shared" si="3"/>
        <v>0.14790600000000001</v>
      </c>
      <c r="AZ5" s="485">
        <f t="shared" si="3"/>
        <v>0.15458</v>
      </c>
      <c r="BA5" s="485">
        <f t="shared" si="3"/>
        <v>0.15668000000000001</v>
      </c>
      <c r="BB5" s="485">
        <f t="shared" si="3"/>
        <v>0.14949999999999999</v>
      </c>
      <c r="BC5" s="485">
        <f t="shared" si="3"/>
        <v>0.14549999999999999</v>
      </c>
      <c r="BD5" s="485">
        <f t="shared" si="3"/>
        <v>0.14549999999999999</v>
      </c>
      <c r="BE5" s="485">
        <f t="shared" si="3"/>
        <v>0.14835300000000001</v>
      </c>
      <c r="BF5" s="485">
        <f t="shared" si="3"/>
        <v>0.16592000000000001</v>
      </c>
      <c r="BG5" s="485">
        <f>C8</f>
        <v>0.17061000000000001</v>
      </c>
      <c r="BH5" s="485">
        <f t="shared" ref="BH5:BR5" si="4">D8</f>
        <v>0.17788999999999999</v>
      </c>
      <c r="BI5" s="485">
        <f t="shared" si="4"/>
        <v>0.1913</v>
      </c>
      <c r="BJ5" s="485">
        <f t="shared" si="4"/>
        <v>0.20300000000000001</v>
      </c>
      <c r="BK5" s="485">
        <f t="shared" si="4"/>
        <v>0.22600000000000001</v>
      </c>
      <c r="BL5" s="485">
        <f t="shared" si="4"/>
        <v>0.24249999999999999</v>
      </c>
      <c r="BM5" s="485">
        <f t="shared" si="4"/>
        <v>0.2366</v>
      </c>
      <c r="BN5" s="485">
        <f t="shared" si="4"/>
        <v>0.24510000000000001</v>
      </c>
      <c r="BO5" s="485">
        <f t="shared" si="4"/>
        <v>0.24099999999999999</v>
      </c>
      <c r="BP5" s="485">
        <f t="shared" si="4"/>
        <v>0.22650000000000001</v>
      </c>
      <c r="BQ5" s="485">
        <f t="shared" si="4"/>
        <v>0.23119999999999999</v>
      </c>
      <c r="BR5" s="485">
        <f t="shared" si="4"/>
        <v>0.23219999999999999</v>
      </c>
      <c r="BS5" s="485">
        <f>C9</f>
        <v>0.24540000000000001</v>
      </c>
      <c r="BT5" s="485">
        <f t="shared" ref="BT5:CD5" si="5">D9</f>
        <v>0.24349999999999999</v>
      </c>
      <c r="BU5" s="485">
        <f t="shared" si="5"/>
        <v>0.24540000000000001</v>
      </c>
      <c r="BV5" s="485">
        <f t="shared" si="5"/>
        <v>0.25309999999999999</v>
      </c>
      <c r="BW5" s="485">
        <f t="shared" si="5"/>
        <v>0.25900000000000001</v>
      </c>
      <c r="BX5" s="485">
        <f t="shared" si="5"/>
        <v>0.26129999999999998</v>
      </c>
      <c r="BY5" s="485">
        <f t="shared" si="5"/>
        <v>0.25619999999999998</v>
      </c>
      <c r="BZ5" s="485">
        <f t="shared" si="5"/>
        <v>0.23530000000000001</v>
      </c>
      <c r="CA5" s="485">
        <f t="shared" si="5"/>
        <v>0.21160000000000001</v>
      </c>
      <c r="CB5" s="485">
        <f t="shared" si="5"/>
        <v>0.2296</v>
      </c>
      <c r="CC5" s="485">
        <f t="shared" si="5"/>
        <v>0.2447</v>
      </c>
      <c r="CD5" s="485">
        <f t="shared" si="5"/>
        <v>0.25230000000000002</v>
      </c>
      <c r="CE5" s="485">
        <f t="shared" ref="CE5:CP5" si="6">C10</f>
        <v>0.25259999999999999</v>
      </c>
      <c r="CF5" s="485">
        <f t="shared" si="6"/>
        <v>0.25119999999999998</v>
      </c>
      <c r="CG5" s="485">
        <f t="shared" si="6"/>
        <v>0.24909999999999999</v>
      </c>
      <c r="CH5" s="485">
        <f t="shared" si="6"/>
        <v>0.26200000000000001</v>
      </c>
      <c r="CI5" s="485">
        <f t="shared" si="6"/>
        <v>0.2485</v>
      </c>
      <c r="CJ5" s="485">
        <f t="shared" si="6"/>
        <v>0.2351</v>
      </c>
      <c r="CK5" s="485">
        <f t="shared" si="6"/>
        <v>0.22800000000000001</v>
      </c>
      <c r="CL5" s="485">
        <f t="shared" si="6"/>
        <v>0.21729999999999999</v>
      </c>
      <c r="CM5" s="485">
        <f t="shared" si="6"/>
        <v>0.2276</v>
      </c>
      <c r="CN5" s="485">
        <f t="shared" si="6"/>
        <v>0.22989999999999999</v>
      </c>
      <c r="CO5" s="485">
        <f t="shared" si="6"/>
        <v>0.23519999999999999</v>
      </c>
      <c r="CP5" s="485">
        <f t="shared" si="6"/>
        <v>0.24160000000000001</v>
      </c>
      <c r="CQ5" s="485">
        <f t="shared" ref="CQ5:DB5" si="7">C11</f>
        <v>0.23100000000000001</v>
      </c>
      <c r="CR5" s="485">
        <f t="shared" si="7"/>
        <v>0.24010000000000001</v>
      </c>
      <c r="CS5" s="485">
        <f t="shared" si="7"/>
        <v>0.2402</v>
      </c>
      <c r="CT5" s="485">
        <f t="shared" si="7"/>
        <v>0.23719999999999999</v>
      </c>
      <c r="CU5" s="485">
        <f t="shared" si="7"/>
        <v>0.24160000000000001</v>
      </c>
      <c r="CV5" s="485">
        <f t="shared" si="7"/>
        <v>0.23830000000000001</v>
      </c>
      <c r="CW5" s="485">
        <f t="shared" si="7"/>
        <v>0.2384</v>
      </c>
      <c r="CX5" s="485">
        <f t="shared" si="7"/>
        <v>0.24010000000000001</v>
      </c>
      <c r="CY5" s="485">
        <f t="shared" si="7"/>
        <v>0.2447</v>
      </c>
      <c r="CZ5" s="485">
        <f t="shared" si="7"/>
        <v>0.2366</v>
      </c>
      <c r="DA5" s="485">
        <f t="shared" si="7"/>
        <v>0.23050000000000001</v>
      </c>
      <c r="DB5" s="485">
        <f t="shared" si="7"/>
        <v>0.2203</v>
      </c>
      <c r="DC5" s="486">
        <f>C12</f>
        <v>0.20910000000000001</v>
      </c>
      <c r="DD5" s="486">
        <f>D12</f>
        <v>0.19800000000000001</v>
      </c>
      <c r="DE5" s="486">
        <f>E12</f>
        <v>0.15659999999999999</v>
      </c>
      <c r="DF5" s="486">
        <f>F12</f>
        <v>0.1396</v>
      </c>
      <c r="DG5" s="486">
        <f t="shared" ref="DG5:DN5" si="8">G12</f>
        <v>0.1298</v>
      </c>
      <c r="DH5" s="486">
        <f t="shared" si="8"/>
        <v>0.1321</v>
      </c>
      <c r="DI5" s="486">
        <f t="shared" si="8"/>
        <v>0.1389</v>
      </c>
      <c r="DJ5" s="486">
        <f t="shared" si="8"/>
        <v>0.14960000000000001</v>
      </c>
      <c r="DK5" s="486">
        <f t="shared" si="8"/>
        <v>0.14119999999999999</v>
      </c>
      <c r="DL5" s="486">
        <f t="shared" si="8"/>
        <v>0.13639999999999999</v>
      </c>
      <c r="DM5" s="486">
        <f t="shared" si="8"/>
        <v>0.13109999999999999</v>
      </c>
      <c r="DN5" s="486">
        <f t="shared" si="8"/>
        <v>0.11600000000000001</v>
      </c>
      <c r="DO5" s="486">
        <f>C13</f>
        <v>9.9900000000000003E-2</v>
      </c>
      <c r="DP5" s="486">
        <f>D13</f>
        <v>9.3899999999999997E-2</v>
      </c>
      <c r="DQ5" s="486">
        <f t="shared" ref="DQ5:DZ5" si="9">E13</f>
        <v>8.9700000000000002E-2</v>
      </c>
      <c r="DR5" s="486">
        <f t="shared" si="9"/>
        <v>7.8799999999999995E-2</v>
      </c>
      <c r="DS5" s="486">
        <f t="shared" si="9"/>
        <v>6.6100000000000006E-2</v>
      </c>
      <c r="DT5" s="486">
        <f t="shared" si="9"/>
        <v>6.4699999999999994E-2</v>
      </c>
      <c r="DU5" s="486">
        <f t="shared" si="9"/>
        <v>7.8399999999999997E-2</v>
      </c>
      <c r="DV5" s="486">
        <f t="shared" si="9"/>
        <v>8.9499999999999996E-2</v>
      </c>
      <c r="DW5" s="486">
        <f t="shared" si="9"/>
        <v>9.7299999999999998E-2</v>
      </c>
      <c r="DX5" s="486">
        <f t="shared" si="9"/>
        <v>8.7599999999999997E-2</v>
      </c>
      <c r="DY5" s="486">
        <f t="shared" si="9"/>
        <v>8.5699999999999998E-2</v>
      </c>
      <c r="DZ5" s="486">
        <f t="shared" si="9"/>
        <v>9.1300000000000006E-2</v>
      </c>
      <c r="EA5" s="486">
        <f>C14</f>
        <v>9.4399999999999998E-2</v>
      </c>
      <c r="EB5" s="486">
        <f t="shared" ref="EB5:EL5" si="10">D14</f>
        <v>0.10680000000000001</v>
      </c>
      <c r="EC5" s="486">
        <f t="shared" si="10"/>
        <v>0.1004</v>
      </c>
      <c r="ED5" s="486">
        <f t="shared" si="10"/>
        <v>0.1079</v>
      </c>
      <c r="EE5" s="486">
        <f t="shared" si="10"/>
        <v>0.1168</v>
      </c>
      <c r="EF5" s="486">
        <f t="shared" si="10"/>
        <v>0.12540000000000001</v>
      </c>
      <c r="EG5" s="486">
        <f t="shared" si="10"/>
        <v>0.1129</v>
      </c>
      <c r="EH5" s="486">
        <f t="shared" si="10"/>
        <v>0.10059999999999999</v>
      </c>
      <c r="EI5" s="486">
        <f t="shared" si="10"/>
        <v>9.4299999999999995E-2</v>
      </c>
      <c r="EJ5" s="486">
        <f t="shared" si="10"/>
        <v>0.1052</v>
      </c>
      <c r="EK5" s="486">
        <f t="shared" si="10"/>
        <v>0.10680000000000001</v>
      </c>
      <c r="EL5" s="486">
        <f t="shared" si="10"/>
        <v>0.11360000000000001</v>
      </c>
      <c r="EM5" s="486">
        <f>C15</f>
        <v>0.1148</v>
      </c>
      <c r="EN5" s="486">
        <f t="shared" ref="EN5:ET5" si="11">D15</f>
        <v>0.1275</v>
      </c>
      <c r="EO5" s="486">
        <f t="shared" si="11"/>
        <v>0.13980000000000001</v>
      </c>
      <c r="EP5" s="486">
        <f t="shared" si="11"/>
        <v>0.14119999999999999</v>
      </c>
      <c r="EQ5" s="486">
        <f t="shared" si="11"/>
        <v>0.14330000000000001</v>
      </c>
      <c r="ER5" s="486">
        <f t="shared" si="11"/>
        <v>0.15110000000000001</v>
      </c>
      <c r="ES5" s="486">
        <f t="shared" si="11"/>
        <v>0.1633</v>
      </c>
      <c r="ET5" s="486">
        <f t="shared" si="11"/>
        <v>0.16550000000000001</v>
      </c>
      <c r="EU5" s="486">
        <f>K15</f>
        <v>0.1613</v>
      </c>
      <c r="EV5" s="486">
        <f>L15</f>
        <v>0.15809999999999999</v>
      </c>
      <c r="EW5" s="486">
        <f>M15</f>
        <v>0.16039999999999999</v>
      </c>
      <c r="EX5" s="486">
        <f>N15</f>
        <v>0.16869999999999999</v>
      </c>
      <c r="EY5" s="486">
        <f t="shared" ref="EY5:FG5" si="12">C16</f>
        <v>0.17699999999999999</v>
      </c>
      <c r="EZ5" s="486">
        <f t="shared" si="12"/>
        <v>0.16520000000000001</v>
      </c>
      <c r="FA5" s="486">
        <f t="shared" si="12"/>
        <v>0.1515</v>
      </c>
      <c r="FB5" s="486">
        <f t="shared" si="12"/>
        <v>0.13300000000000001</v>
      </c>
      <c r="FC5" s="486">
        <f t="shared" si="12"/>
        <v>0.1366</v>
      </c>
      <c r="FD5" s="486">
        <f t="shared" si="12"/>
        <v>0.1467</v>
      </c>
      <c r="FE5" s="486">
        <f t="shared" si="12"/>
        <v>0.15060000000000001</v>
      </c>
      <c r="FF5" s="486">
        <f t="shared" si="12"/>
        <v>0.14929999999999999</v>
      </c>
      <c r="FG5" s="486">
        <f t="shared" si="12"/>
        <v>0.14760000000000001</v>
      </c>
      <c r="FH5" s="486">
        <f>L16</f>
        <v>0.13830000000000001</v>
      </c>
      <c r="FI5" s="486">
        <f>M16</f>
        <v>0.12870000000000001</v>
      </c>
      <c r="FJ5" s="486">
        <f>N16</f>
        <v>0.13669999999999999</v>
      </c>
    </row>
    <row r="6" spans="2:166" ht="18" customHeight="1" x14ac:dyDescent="0.25">
      <c r="B6" s="480">
        <v>2009</v>
      </c>
      <c r="C6" s="483">
        <v>0.23519999999999999</v>
      </c>
      <c r="D6" s="483">
        <v>0.1608</v>
      </c>
      <c r="E6" s="483">
        <v>0.1138</v>
      </c>
      <c r="F6" s="483">
        <v>9.0120000000000006E-2</v>
      </c>
      <c r="G6" s="483">
        <v>8.9099999999999999E-2</v>
      </c>
      <c r="H6" s="483">
        <v>8.6599999999999996E-2</v>
      </c>
      <c r="I6" s="483">
        <v>8.8156999999999999E-2</v>
      </c>
      <c r="J6" s="483">
        <v>8.8156999999999999E-2</v>
      </c>
      <c r="K6" s="483">
        <v>0.12819900000000001</v>
      </c>
      <c r="L6" s="483">
        <v>0.14682300000000001</v>
      </c>
      <c r="M6" s="484">
        <v>0.13339200000000001</v>
      </c>
      <c r="N6" s="484">
        <v>0.13339200000000001</v>
      </c>
      <c r="O6" s="484">
        <f t="shared" si="0"/>
        <v>0.12447833333333332</v>
      </c>
    </row>
    <row r="7" spans="2:166" ht="18" customHeight="1" x14ac:dyDescent="0.25">
      <c r="B7" s="480">
        <v>2010</v>
      </c>
      <c r="C7" s="483">
        <v>0.151146</v>
      </c>
      <c r="D7" s="483">
        <v>0.14732500000000001</v>
      </c>
      <c r="E7" s="483">
        <v>0.14923600000000001</v>
      </c>
      <c r="F7" s="483">
        <v>0.14553199999999999</v>
      </c>
      <c r="G7" s="483">
        <v>0.14790600000000001</v>
      </c>
      <c r="H7" s="483">
        <v>0.15458</v>
      </c>
      <c r="I7" s="483">
        <v>0.15668000000000001</v>
      </c>
      <c r="J7" s="483">
        <v>0.14949999999999999</v>
      </c>
      <c r="K7" s="483">
        <v>0.14549999999999999</v>
      </c>
      <c r="L7" s="483">
        <v>0.14549999999999999</v>
      </c>
      <c r="M7" s="483">
        <v>0.14835300000000001</v>
      </c>
      <c r="N7" s="483">
        <v>0.16592000000000001</v>
      </c>
      <c r="O7" s="483">
        <f t="shared" si="0"/>
        <v>0.15059816666666667</v>
      </c>
    </row>
    <row r="8" spans="2:166" ht="18" customHeight="1" x14ac:dyDescent="0.25">
      <c r="B8" s="480">
        <v>2011</v>
      </c>
      <c r="C8" s="483">
        <v>0.17061000000000001</v>
      </c>
      <c r="D8" s="483">
        <v>0.17788999999999999</v>
      </c>
      <c r="E8" s="483">
        <v>0.1913</v>
      </c>
      <c r="F8" s="483">
        <v>0.20300000000000001</v>
      </c>
      <c r="G8" s="483">
        <v>0.22600000000000001</v>
      </c>
      <c r="H8" s="483">
        <v>0.24249999999999999</v>
      </c>
      <c r="I8" s="483">
        <v>0.2366</v>
      </c>
      <c r="J8" s="483">
        <v>0.24510000000000001</v>
      </c>
      <c r="K8" s="483">
        <v>0.24099999999999999</v>
      </c>
      <c r="L8" s="483">
        <v>0.22650000000000001</v>
      </c>
      <c r="M8" s="483">
        <v>0.23119999999999999</v>
      </c>
      <c r="N8" s="483">
        <v>0.23219999999999999</v>
      </c>
      <c r="O8" s="483">
        <f t="shared" si="0"/>
        <v>0.21865833333333337</v>
      </c>
    </row>
    <row r="9" spans="2:166" ht="18" customHeight="1" x14ac:dyDescent="0.25">
      <c r="B9" s="480">
        <v>2012</v>
      </c>
      <c r="C9" s="483">
        <v>0.24540000000000001</v>
      </c>
      <c r="D9" s="483">
        <v>0.24349999999999999</v>
      </c>
      <c r="E9" s="483">
        <v>0.24540000000000001</v>
      </c>
      <c r="F9" s="483">
        <v>0.25309999999999999</v>
      </c>
      <c r="G9" s="483">
        <v>0.25900000000000001</v>
      </c>
      <c r="H9" s="483">
        <v>0.26129999999999998</v>
      </c>
      <c r="I9" s="483">
        <v>0.25619999999999998</v>
      </c>
      <c r="J9" s="483">
        <v>0.23530000000000001</v>
      </c>
      <c r="K9" s="483">
        <v>0.21160000000000001</v>
      </c>
      <c r="L9" s="483">
        <v>0.2296</v>
      </c>
      <c r="M9" s="483">
        <v>0.2447</v>
      </c>
      <c r="N9" s="483">
        <v>0.25230000000000002</v>
      </c>
      <c r="O9" s="483">
        <f t="shared" si="0"/>
        <v>0.24478333333333332</v>
      </c>
    </row>
    <row r="10" spans="2:166" ht="18" customHeight="1" x14ac:dyDescent="0.25">
      <c r="B10" s="480">
        <v>2013</v>
      </c>
      <c r="C10" s="483">
        <v>0.25259999999999999</v>
      </c>
      <c r="D10" s="483">
        <v>0.25119999999999998</v>
      </c>
      <c r="E10" s="483">
        <v>0.24909999999999999</v>
      </c>
      <c r="F10" s="483">
        <v>0.26200000000000001</v>
      </c>
      <c r="G10" s="483">
        <v>0.2485</v>
      </c>
      <c r="H10" s="483">
        <v>0.2351</v>
      </c>
      <c r="I10" s="483">
        <v>0.22800000000000001</v>
      </c>
      <c r="J10" s="483">
        <v>0.21729999999999999</v>
      </c>
      <c r="K10" s="483">
        <v>0.2276</v>
      </c>
      <c r="L10" s="483">
        <v>0.22989999999999999</v>
      </c>
      <c r="M10" s="483">
        <v>0.23519999999999999</v>
      </c>
      <c r="N10" s="483">
        <v>0.24160000000000001</v>
      </c>
      <c r="O10" s="483">
        <f t="shared" si="0"/>
        <v>0.23984166666666665</v>
      </c>
    </row>
    <row r="11" spans="2:166" ht="18" customHeight="1" x14ac:dyDescent="0.25">
      <c r="B11" s="480">
        <v>2014</v>
      </c>
      <c r="C11" s="483">
        <v>0.23100000000000001</v>
      </c>
      <c r="D11" s="483">
        <v>0.24010000000000001</v>
      </c>
      <c r="E11" s="483">
        <v>0.2402</v>
      </c>
      <c r="F11" s="483">
        <v>0.23719999999999999</v>
      </c>
      <c r="G11" s="483">
        <v>0.24160000000000001</v>
      </c>
      <c r="H11" s="483">
        <v>0.23830000000000001</v>
      </c>
      <c r="I11" s="483">
        <v>0.2384</v>
      </c>
      <c r="J11" s="483">
        <v>0.24010000000000001</v>
      </c>
      <c r="K11" s="483">
        <v>0.2447</v>
      </c>
      <c r="L11" s="483">
        <v>0.2366</v>
      </c>
      <c r="M11" s="483">
        <v>0.23050000000000001</v>
      </c>
      <c r="N11" s="483">
        <v>0.2203</v>
      </c>
      <c r="O11" s="483">
        <f t="shared" si="0"/>
        <v>0.23658333333333334</v>
      </c>
    </row>
    <row r="12" spans="2:166" ht="18" customHeight="1" x14ac:dyDescent="0.25">
      <c r="B12" s="480">
        <v>2015</v>
      </c>
      <c r="C12" s="483">
        <v>0.20910000000000001</v>
      </c>
      <c r="D12" s="483">
        <v>0.19800000000000001</v>
      </c>
      <c r="E12" s="483">
        <v>0.15659999999999999</v>
      </c>
      <c r="F12" s="483">
        <v>0.1396</v>
      </c>
      <c r="G12" s="483">
        <v>0.1298</v>
      </c>
      <c r="H12" s="483">
        <v>0.1321</v>
      </c>
      <c r="I12" s="483">
        <v>0.1389</v>
      </c>
      <c r="J12" s="483">
        <v>0.14960000000000001</v>
      </c>
      <c r="K12" s="483">
        <v>0.14119999999999999</v>
      </c>
      <c r="L12" s="483">
        <v>0.13639999999999999</v>
      </c>
      <c r="M12" s="483">
        <v>0.13109999999999999</v>
      </c>
      <c r="N12" s="483">
        <v>0.11600000000000001</v>
      </c>
      <c r="O12" s="483">
        <f t="shared" si="0"/>
        <v>0.14820000000000003</v>
      </c>
    </row>
    <row r="13" spans="2:166" ht="18" customHeight="1" x14ac:dyDescent="0.25">
      <c r="B13" s="480">
        <v>2016</v>
      </c>
      <c r="C13" s="483">
        <v>9.9900000000000003E-2</v>
      </c>
      <c r="D13" s="483">
        <v>9.3899999999999997E-2</v>
      </c>
      <c r="E13" s="483">
        <v>8.9700000000000002E-2</v>
      </c>
      <c r="F13" s="483">
        <v>7.8799999999999995E-2</v>
      </c>
      <c r="G13" s="483">
        <v>6.6100000000000006E-2</v>
      </c>
      <c r="H13" s="483">
        <v>6.4699999999999994E-2</v>
      </c>
      <c r="I13" s="483">
        <v>7.8399999999999997E-2</v>
      </c>
      <c r="J13" s="483">
        <v>8.9499999999999996E-2</v>
      </c>
      <c r="K13" s="483">
        <v>9.7299999999999998E-2</v>
      </c>
      <c r="L13" s="483">
        <v>8.7599999999999997E-2</v>
      </c>
      <c r="M13" s="483">
        <v>8.5699999999999998E-2</v>
      </c>
      <c r="N13" s="483">
        <v>9.1300000000000006E-2</v>
      </c>
      <c r="O13" s="483">
        <f t="shared" si="0"/>
        <v>8.524166666666666E-2</v>
      </c>
    </row>
    <row r="14" spans="2:166" ht="18" customHeight="1" x14ac:dyDescent="0.25">
      <c r="B14" s="480">
        <v>2017</v>
      </c>
      <c r="C14" s="483">
        <v>9.4399999999999998E-2</v>
      </c>
      <c r="D14" s="483">
        <v>0.10680000000000001</v>
      </c>
      <c r="E14" s="483">
        <v>0.1004</v>
      </c>
      <c r="F14" s="483">
        <v>0.1079</v>
      </c>
      <c r="G14" s="483">
        <v>0.1168</v>
      </c>
      <c r="H14" s="483">
        <v>0.12540000000000001</v>
      </c>
      <c r="I14" s="483">
        <v>0.1129</v>
      </c>
      <c r="J14" s="483">
        <v>0.10059999999999999</v>
      </c>
      <c r="K14" s="483">
        <v>9.4299999999999995E-2</v>
      </c>
      <c r="L14" s="483">
        <v>0.1052</v>
      </c>
      <c r="M14" s="483">
        <v>0.10680000000000001</v>
      </c>
      <c r="N14" s="483">
        <v>0.11360000000000001</v>
      </c>
      <c r="O14" s="483">
        <f t="shared" si="0"/>
        <v>0.10709166666666665</v>
      </c>
    </row>
    <row r="15" spans="2:166" ht="18" customHeight="1" x14ac:dyDescent="0.25">
      <c r="B15" s="480">
        <v>2018</v>
      </c>
      <c r="C15" s="483">
        <v>0.1148</v>
      </c>
      <c r="D15" s="483">
        <v>0.1275</v>
      </c>
      <c r="E15" s="483">
        <v>0.13980000000000001</v>
      </c>
      <c r="F15" s="483">
        <v>0.14119999999999999</v>
      </c>
      <c r="G15" s="483">
        <v>0.14330000000000001</v>
      </c>
      <c r="H15" s="483">
        <v>0.15110000000000001</v>
      </c>
      <c r="I15" s="483">
        <v>0.1633</v>
      </c>
      <c r="J15" s="483">
        <v>0.16550000000000001</v>
      </c>
      <c r="K15" s="483">
        <v>0.1613</v>
      </c>
      <c r="L15" s="483">
        <v>0.15809999999999999</v>
      </c>
      <c r="M15" s="483">
        <v>0.16039999999999999</v>
      </c>
      <c r="N15" s="483">
        <v>0.16869999999999999</v>
      </c>
      <c r="O15" s="483">
        <f t="shared" si="0"/>
        <v>0.14958333333333335</v>
      </c>
    </row>
    <row r="16" spans="2:166" ht="17.45" customHeight="1" x14ac:dyDescent="0.25">
      <c r="B16" s="480">
        <v>2019</v>
      </c>
      <c r="C16" s="483">
        <v>0.17699999999999999</v>
      </c>
      <c r="D16" s="483">
        <v>0.16520000000000001</v>
      </c>
      <c r="E16" s="483">
        <v>0.1515</v>
      </c>
      <c r="F16" s="483">
        <v>0.13300000000000001</v>
      </c>
      <c r="G16" s="483">
        <v>0.1366</v>
      </c>
      <c r="H16" s="483">
        <v>0.1467</v>
      </c>
      <c r="I16" s="483">
        <v>0.15060000000000001</v>
      </c>
      <c r="J16" s="483">
        <v>0.14929999999999999</v>
      </c>
      <c r="K16" s="483">
        <v>0.14760000000000001</v>
      </c>
      <c r="L16" s="483">
        <v>0.13830000000000001</v>
      </c>
      <c r="M16" s="483">
        <v>0.12870000000000001</v>
      </c>
      <c r="N16" s="483">
        <v>0.13669999999999999</v>
      </c>
      <c r="O16" s="483">
        <f t="shared" si="0"/>
        <v>0.14676666666666668</v>
      </c>
    </row>
    <row r="17" spans="2:15" ht="17.45" customHeight="1" x14ac:dyDescent="0.25">
      <c r="B17" s="480">
        <v>2020</v>
      </c>
      <c r="C17" s="483">
        <v>0.1381</v>
      </c>
      <c r="D17" s="483">
        <v>0.13159999999999999</v>
      </c>
      <c r="E17" s="483">
        <v>0.13719999999999999</v>
      </c>
      <c r="F17" s="483">
        <v>0.1333</v>
      </c>
      <c r="G17" s="483">
        <v>0.1167</v>
      </c>
      <c r="H17" s="483">
        <v>0.10349999999999999</v>
      </c>
      <c r="I17" s="483">
        <v>8.8300000000000003E-2</v>
      </c>
      <c r="J17" s="483">
        <v>4.0899999999999999E-2</v>
      </c>
      <c r="K17" s="483">
        <v>4.5100000000000001E-2</v>
      </c>
      <c r="L17" s="483">
        <v>6.0600000000000001E-2</v>
      </c>
      <c r="M17" s="483">
        <v>7.1300000000000002E-2</v>
      </c>
      <c r="N17" s="483">
        <v>7.0800000000000002E-2</v>
      </c>
      <c r="O17" s="483">
        <f t="shared" si="0"/>
        <v>9.4783333333333344E-2</v>
      </c>
    </row>
    <row r="18" spans="2:15" ht="17.45" customHeight="1" x14ac:dyDescent="0.25">
      <c r="B18" s="480">
        <v>2021</v>
      </c>
      <c r="C18" s="483">
        <v>7.0999999999999994E-2</v>
      </c>
      <c r="D18" s="483">
        <v>7.3800000000000004E-2</v>
      </c>
      <c r="E18" s="483">
        <v>8.7499999999999994E-2</v>
      </c>
      <c r="F18" s="483">
        <v>9.8500000000000004E-2</v>
      </c>
      <c r="G18" s="483">
        <v>0.1026</v>
      </c>
      <c r="H18" s="483">
        <v>0.1208</v>
      </c>
      <c r="I18" s="483">
        <v>0.12</v>
      </c>
      <c r="J18" s="483">
        <v>0.1278</v>
      </c>
      <c r="K18" s="483">
        <v>0.1361</v>
      </c>
      <c r="L18" s="483">
        <v>0.1371</v>
      </c>
      <c r="M18" s="483">
        <v>0.13780000000000001</v>
      </c>
      <c r="N18" s="483">
        <v>0.1555</v>
      </c>
      <c r="O18" s="483">
        <f>AVERAGE(C18:N18)</f>
        <v>0.11404166666666667</v>
      </c>
    </row>
    <row r="19" spans="2:15" ht="17.45" customHeight="1" x14ac:dyDescent="0.25">
      <c r="B19" s="480">
        <v>2022</v>
      </c>
      <c r="C19" s="483">
        <v>0.17649999999999999</v>
      </c>
      <c r="D19" s="483">
        <v>0.17269999999999999</v>
      </c>
      <c r="E19" s="483">
        <v>0.15409999999999999</v>
      </c>
      <c r="F19" s="483">
        <v>0.16009999999999999</v>
      </c>
      <c r="G19" s="483">
        <v>0.19620000000000001</v>
      </c>
      <c r="H19" s="483">
        <v>0.24049999999999999</v>
      </c>
      <c r="I19" s="483">
        <v>0.29499999999999998</v>
      </c>
      <c r="J19" s="483">
        <v>0.25940000000000002</v>
      </c>
      <c r="K19" s="483">
        <v>0.30080000000000001</v>
      </c>
      <c r="L19" s="483">
        <v>0.30480000000000002</v>
      </c>
      <c r="M19" s="483">
        <v>0.25869999999999999</v>
      </c>
      <c r="N19" s="483">
        <v>0.25879999999999997</v>
      </c>
      <c r="O19" s="483">
        <f>AVERAGE(C19:N19)</f>
        <v>0.23146666666666668</v>
      </c>
    </row>
    <row r="20" spans="2:15" ht="17.45" customHeight="1" x14ac:dyDescent="0.25">
      <c r="B20" s="480">
        <v>2023</v>
      </c>
      <c r="C20" s="483">
        <v>0.25609999999999999</v>
      </c>
      <c r="D20" s="483">
        <v>0.26229999999999998</v>
      </c>
      <c r="E20" s="483">
        <v>0.214</v>
      </c>
      <c r="F20" s="483">
        <v>0.21490000000000001</v>
      </c>
      <c r="G20" s="483">
        <v>0.21199999999999999</v>
      </c>
      <c r="H20" s="483">
        <v>0.1986</v>
      </c>
      <c r="I20" s="483">
        <v>0.1779</v>
      </c>
      <c r="J20" s="483">
        <v>0.1658</v>
      </c>
      <c r="K20" s="483">
        <v>0.1578</v>
      </c>
      <c r="L20" s="483">
        <v>0.17</v>
      </c>
      <c r="M20" s="483">
        <v>0.18640000000000001</v>
      </c>
      <c r="N20" s="483">
        <v>0.22040000000000001</v>
      </c>
      <c r="O20" s="483">
        <f>AVERAGE(C20:N20)</f>
        <v>0.20301666666666665</v>
      </c>
    </row>
    <row r="21" spans="2:15" ht="15" x14ac:dyDescent="0.25">
      <c r="B21" s="498">
        <v>2024</v>
      </c>
      <c r="C21" s="483">
        <v>0.22670000000000001</v>
      </c>
      <c r="D21" s="483">
        <v>0.222</v>
      </c>
      <c r="E21" s="483">
        <v>0.19950000000000001</v>
      </c>
      <c r="F21" s="483">
        <v>0.18579999999999999</v>
      </c>
      <c r="G21" s="483"/>
      <c r="H21" s="483"/>
      <c r="I21" s="483"/>
      <c r="J21" s="483"/>
      <c r="K21" s="483"/>
      <c r="L21" s="483"/>
      <c r="M21" s="483"/>
      <c r="N21" s="483"/>
      <c r="O21" s="483">
        <f>AVERAGE(C21:N21)</f>
        <v>0.20849999999999999</v>
      </c>
    </row>
    <row r="22" spans="2:15" ht="15" x14ac:dyDescent="0.25">
      <c r="B22" s="487"/>
      <c r="C22" s="488"/>
      <c r="D22" s="488"/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8"/>
    </row>
    <row r="23" spans="2:15" ht="18" customHeight="1" x14ac:dyDescent="0.25">
      <c r="B23" s="487"/>
      <c r="C23" s="489" t="s">
        <v>406</v>
      </c>
      <c r="D23" s="488"/>
      <c r="E23" s="488"/>
      <c r="F23" s="488"/>
      <c r="G23" s="488"/>
      <c r="H23" s="488"/>
      <c r="I23" s="488"/>
      <c r="J23" s="488"/>
      <c r="K23" s="488"/>
      <c r="L23" s="488"/>
      <c r="M23" s="488"/>
      <c r="N23" s="488"/>
      <c r="O23" s="488"/>
    </row>
    <row r="24" spans="2:15" ht="5.0999999999999996" customHeight="1" x14ac:dyDescent="0.25">
      <c r="B24" s="490"/>
      <c r="C24" s="490"/>
      <c r="D24" s="490"/>
      <c r="E24" s="490"/>
      <c r="F24" s="490"/>
      <c r="G24" s="490"/>
      <c r="H24" s="490"/>
      <c r="I24" s="490"/>
      <c r="J24" s="490"/>
      <c r="K24" s="490"/>
      <c r="L24" s="490"/>
      <c r="M24" s="490"/>
      <c r="N24" s="490"/>
      <c r="O24" s="490"/>
    </row>
    <row r="25" spans="2:15" x14ac:dyDescent="0.2">
      <c r="B25" s="491" t="s">
        <v>407</v>
      </c>
      <c r="C25" s="492">
        <f>IF(C15=0," ",(C15-C5)/C5)</f>
        <v>-0.14710252600297175</v>
      </c>
      <c r="D25" s="492">
        <f t="shared" ref="D25:O25" si="13">IF(D15=0," ",(D15-D5)/D5)</f>
        <v>-0.28087986463620984</v>
      </c>
      <c r="E25" s="492">
        <f t="shared" si="13"/>
        <v>-0.23313219967087209</v>
      </c>
      <c r="F25" s="492">
        <f t="shared" si="13"/>
        <v>-0.222466960352423</v>
      </c>
      <c r="G25" s="492">
        <f t="shared" si="13"/>
        <v>-0.23409941207910198</v>
      </c>
      <c r="H25" s="492">
        <f t="shared" si="13"/>
        <v>-0.37406793703396846</v>
      </c>
      <c r="I25" s="492">
        <f t="shared" si="13"/>
        <v>-0.34522854851643947</v>
      </c>
      <c r="J25" s="492">
        <f t="shared" si="13"/>
        <v>-0.41848208011243854</v>
      </c>
      <c r="K25" s="492">
        <f t="shared" si="13"/>
        <v>-0.42522182232833267</v>
      </c>
      <c r="L25" s="492">
        <f t="shared" si="13"/>
        <v>-0.45670103092783504</v>
      </c>
      <c r="M25" s="492">
        <f t="shared" si="13"/>
        <v>-0.40104555638536221</v>
      </c>
      <c r="N25" s="492">
        <f t="shared" si="13"/>
        <v>-0.28273809523809529</v>
      </c>
      <c r="O25" s="492">
        <f t="shared" si="13"/>
        <v>-0.33835373562900611</v>
      </c>
    </row>
    <row r="26" spans="2:15" x14ac:dyDescent="0.2">
      <c r="B26" s="491" t="s">
        <v>408</v>
      </c>
      <c r="C26" s="492">
        <f>IF(C15=0," ",(C15-C6)/C6)</f>
        <v>-0.51190476190476186</v>
      </c>
      <c r="D26" s="492">
        <f t="shared" ref="D26:O26" si="14">IF(D15=0," ",(D15-D6)/D6)</f>
        <v>-0.20708955223880596</v>
      </c>
      <c r="E26" s="492">
        <f t="shared" si="14"/>
        <v>0.22847100175746932</v>
      </c>
      <c r="F26" s="492">
        <f t="shared" si="14"/>
        <v>0.56679982245894345</v>
      </c>
      <c r="G26" s="492">
        <f t="shared" si="14"/>
        <v>0.60830527497194176</v>
      </c>
      <c r="H26" s="492">
        <f t="shared" si="14"/>
        <v>0.74480369515011569</v>
      </c>
      <c r="I26" s="492">
        <f t="shared" si="14"/>
        <v>0.85237700919949633</v>
      </c>
      <c r="J26" s="492">
        <f t="shared" si="14"/>
        <v>0.87733248635956318</v>
      </c>
      <c r="K26" s="492">
        <f t="shared" si="14"/>
        <v>0.25820014196678592</v>
      </c>
      <c r="L26" s="492">
        <f t="shared" si="14"/>
        <v>7.6806767332093615E-2</v>
      </c>
      <c r="M26" s="492">
        <f t="shared" si="14"/>
        <v>0.20247091279836851</v>
      </c>
      <c r="N26" s="492">
        <f t="shared" si="14"/>
        <v>0.26469353484466818</v>
      </c>
      <c r="O26" s="492">
        <f t="shared" si="14"/>
        <v>0.2016816848983092</v>
      </c>
    </row>
    <row r="27" spans="2:15" x14ac:dyDescent="0.2">
      <c r="B27" s="491" t="s">
        <v>409</v>
      </c>
      <c r="C27" s="492">
        <f>IF(C15=0," ",(C15-C7)/C7)</f>
        <v>-0.24046947984068387</v>
      </c>
      <c r="D27" s="492">
        <f t="shared" ref="D27:O27" si="15">IF(D15=0," ",(D15-D7)/D7)</f>
        <v>-0.13456643475309696</v>
      </c>
      <c r="E27" s="492">
        <f t="shared" si="15"/>
        <v>-6.3228711570934626E-2</v>
      </c>
      <c r="F27" s="492">
        <f t="shared" si="15"/>
        <v>-2.9766649259269456E-2</v>
      </c>
      <c r="G27" s="492">
        <f t="shared" si="15"/>
        <v>-3.1141400619312257E-2</v>
      </c>
      <c r="H27" s="492">
        <f t="shared" si="15"/>
        <v>-2.2512614827273795E-2</v>
      </c>
      <c r="I27" s="492">
        <f t="shared" si="15"/>
        <v>4.2251723257595013E-2</v>
      </c>
      <c r="J27" s="492">
        <f t="shared" si="15"/>
        <v>0.10702341137123755</v>
      </c>
      <c r="K27" s="492">
        <f t="shared" si="15"/>
        <v>0.10859106529209629</v>
      </c>
      <c r="L27" s="492">
        <f t="shared" si="15"/>
        <v>8.6597938144329908E-2</v>
      </c>
      <c r="M27" s="492">
        <f t="shared" si="15"/>
        <v>8.1204963836255237E-2</v>
      </c>
      <c r="N27" s="492">
        <f t="shared" si="15"/>
        <v>1.6755062680809889E-2</v>
      </c>
      <c r="O27" s="492">
        <f t="shared" si="15"/>
        <v>-6.7386831845008682E-3</v>
      </c>
    </row>
    <row r="28" spans="2:15" x14ac:dyDescent="0.2">
      <c r="B28" s="491" t="s">
        <v>410</v>
      </c>
      <c r="C28" s="492">
        <f>IF(C15=0," ",(C15-C8)/C8)</f>
        <v>-0.32712033292304088</v>
      </c>
      <c r="D28" s="492">
        <f t="shared" ref="D28:O28" si="16">IF(D15=0," ",(D15-D8)/D8)</f>
        <v>-0.28326493900725164</v>
      </c>
      <c r="E28" s="492">
        <f t="shared" si="16"/>
        <v>-0.26921066387872444</v>
      </c>
      <c r="F28" s="492">
        <f t="shared" si="16"/>
        <v>-0.30443349753694587</v>
      </c>
      <c r="G28" s="492">
        <f t="shared" si="16"/>
        <v>-0.365929203539823</v>
      </c>
      <c r="H28" s="492">
        <f t="shared" si="16"/>
        <v>-0.37690721649484532</v>
      </c>
      <c r="I28" s="492">
        <f t="shared" si="16"/>
        <v>-0.30980557903634826</v>
      </c>
      <c r="J28" s="492">
        <f t="shared" si="16"/>
        <v>-0.32476540187678499</v>
      </c>
      <c r="K28" s="492">
        <f t="shared" si="16"/>
        <v>-0.33070539419087136</v>
      </c>
      <c r="L28" s="492">
        <f t="shared" si="16"/>
        <v>-0.30198675496688748</v>
      </c>
      <c r="M28" s="492">
        <f t="shared" si="16"/>
        <v>-0.30622837370242217</v>
      </c>
      <c r="N28" s="492">
        <f t="shared" si="16"/>
        <v>-0.27347114556416885</v>
      </c>
      <c r="O28" s="492">
        <f t="shared" si="16"/>
        <v>-0.31590380730972983</v>
      </c>
    </row>
    <row r="29" spans="2:15" x14ac:dyDescent="0.2">
      <c r="B29" s="491" t="s">
        <v>411</v>
      </c>
      <c r="C29" s="492">
        <f>IF(C15=0," ",(C15-C9)/C9)</f>
        <v>-0.53219233903830476</v>
      </c>
      <c r="D29" s="492">
        <f t="shared" ref="D29:O29" si="17">IF(D15=0," ",(D15-D9)/D9)</f>
        <v>-0.47638603696098558</v>
      </c>
      <c r="E29" s="492">
        <f t="shared" si="17"/>
        <v>-0.43031784841075793</v>
      </c>
      <c r="F29" s="492">
        <f t="shared" si="17"/>
        <v>-0.44211774002370607</v>
      </c>
      <c r="G29" s="492">
        <f t="shared" si="17"/>
        <v>-0.44671814671814669</v>
      </c>
      <c r="H29" s="492">
        <f t="shared" si="17"/>
        <v>-0.42173746651358585</v>
      </c>
      <c r="I29" s="492">
        <f t="shared" si="17"/>
        <v>-0.36260733801717404</v>
      </c>
      <c r="J29" s="492">
        <f t="shared" si="17"/>
        <v>-0.2966425839354016</v>
      </c>
      <c r="K29" s="492">
        <f t="shared" si="17"/>
        <v>-0.23771266540642727</v>
      </c>
      <c r="L29" s="492">
        <f t="shared" si="17"/>
        <v>-0.31141114982578399</v>
      </c>
      <c r="M29" s="492">
        <f t="shared" si="17"/>
        <v>-0.34450347364119338</v>
      </c>
      <c r="N29" s="492">
        <f t="shared" si="17"/>
        <v>-0.33135156559651219</v>
      </c>
      <c r="O29" s="492">
        <f t="shared" si="17"/>
        <v>-0.38891536733165377</v>
      </c>
    </row>
    <row r="30" spans="2:15" x14ac:dyDescent="0.2">
      <c r="B30" s="491" t="s">
        <v>412</v>
      </c>
      <c r="C30" s="492">
        <f>IF(C15=0," ",(C15-C10)/C10)</f>
        <v>-0.54552652414885183</v>
      </c>
      <c r="D30" s="492">
        <f t="shared" ref="D30:O30" si="18">IF(D15=0," ",(D15-D10)/D10)</f>
        <v>-0.49243630573248404</v>
      </c>
      <c r="E30" s="492">
        <f t="shared" si="18"/>
        <v>-0.43877960658370124</v>
      </c>
      <c r="F30" s="492">
        <f t="shared" si="18"/>
        <v>-0.4610687022900764</v>
      </c>
      <c r="G30" s="492">
        <f t="shared" si="18"/>
        <v>-0.42334004024144867</v>
      </c>
      <c r="H30" s="492">
        <f t="shared" si="18"/>
        <v>-0.35729476818375155</v>
      </c>
      <c r="I30" s="492">
        <f t="shared" si="18"/>
        <v>-0.28377192982456145</v>
      </c>
      <c r="J30" s="492">
        <f t="shared" si="18"/>
        <v>-0.23838011965025305</v>
      </c>
      <c r="K30" s="492">
        <f t="shared" si="18"/>
        <v>-0.29130052724077327</v>
      </c>
      <c r="L30" s="492">
        <f t="shared" si="18"/>
        <v>-0.31230969986950852</v>
      </c>
      <c r="M30" s="492">
        <f t="shared" si="18"/>
        <v>-0.31802721088435376</v>
      </c>
      <c r="N30" s="492">
        <f t="shared" si="18"/>
        <v>-0.30173841059602657</v>
      </c>
      <c r="O30" s="492">
        <f t="shared" si="18"/>
        <v>-0.37632465862895648</v>
      </c>
    </row>
    <row r="31" spans="2:15" x14ac:dyDescent="0.2">
      <c r="B31" s="491" t="s">
        <v>413</v>
      </c>
      <c r="C31" s="492">
        <f>IF(C15=0," ",(C15-C11)/C11)</f>
        <v>-0.50303030303030305</v>
      </c>
      <c r="D31" s="492">
        <f t="shared" ref="D31:O31" si="19">IF(D15=0," ",(D15-D11)/D11)</f>
        <v>-0.46897126197417743</v>
      </c>
      <c r="E31" s="492">
        <f t="shared" si="19"/>
        <v>-0.41798501248959197</v>
      </c>
      <c r="F31" s="492">
        <f t="shared" si="19"/>
        <v>-0.40472175379426645</v>
      </c>
      <c r="G31" s="492">
        <f t="shared" si="19"/>
        <v>-0.4068708609271523</v>
      </c>
      <c r="H31" s="492">
        <f t="shared" si="19"/>
        <v>-0.36592530423835501</v>
      </c>
      <c r="I31" s="492">
        <f t="shared" si="19"/>
        <v>-0.31501677852348992</v>
      </c>
      <c r="J31" s="492">
        <f t="shared" si="19"/>
        <v>-0.31070387338608912</v>
      </c>
      <c r="K31" s="492">
        <f t="shared" si="19"/>
        <v>-0.34082550061299549</v>
      </c>
      <c r="L31" s="492">
        <f t="shared" si="19"/>
        <v>-0.33178360101437032</v>
      </c>
      <c r="M31" s="492">
        <f t="shared" si="19"/>
        <v>-0.30412147505423004</v>
      </c>
      <c r="N31" s="492">
        <f t="shared" si="19"/>
        <v>-0.23422605537902863</v>
      </c>
      <c r="O31" s="492">
        <f t="shared" si="19"/>
        <v>-0.36773511799929548</v>
      </c>
    </row>
    <row r="32" spans="2:15" x14ac:dyDescent="0.2">
      <c r="B32" s="491" t="s">
        <v>414</v>
      </c>
      <c r="C32" s="492">
        <f>IF(C15=0," ",(C15-C12)/C12)</f>
        <v>-0.45098039215686275</v>
      </c>
      <c r="D32" s="492">
        <f t="shared" ref="D32:O32" si="20">IF(D15=0," ",(D15-D12)/D12)</f>
        <v>-0.35606060606060608</v>
      </c>
      <c r="E32" s="492">
        <f t="shared" si="20"/>
        <v>-0.10727969348658993</v>
      </c>
      <c r="F32" s="492">
        <f t="shared" si="20"/>
        <v>1.1461318051575861E-2</v>
      </c>
      <c r="G32" s="492">
        <f t="shared" si="20"/>
        <v>0.10400616332819732</v>
      </c>
      <c r="H32" s="492">
        <f t="shared" si="20"/>
        <v>0.1438304314912946</v>
      </c>
      <c r="I32" s="492">
        <f t="shared" si="20"/>
        <v>0.17566594672426211</v>
      </c>
      <c r="J32" s="492">
        <f t="shared" si="20"/>
        <v>0.10628342245989303</v>
      </c>
      <c r="K32" s="492">
        <f t="shared" si="20"/>
        <v>0.14235127478753545</v>
      </c>
      <c r="L32" s="492">
        <f t="shared" si="20"/>
        <v>0.15909090909090909</v>
      </c>
      <c r="M32" s="492">
        <f t="shared" si="20"/>
        <v>0.22349351639969484</v>
      </c>
      <c r="N32" s="492">
        <f t="shared" si="20"/>
        <v>0.45431034482758603</v>
      </c>
      <c r="O32" s="492">
        <f t="shared" si="20"/>
        <v>9.3342330184434507E-3</v>
      </c>
    </row>
    <row r="33" spans="2:15" x14ac:dyDescent="0.2">
      <c r="B33" s="491" t="s">
        <v>415</v>
      </c>
      <c r="C33" s="492">
        <f>IF(C15=0," ",(C15-C14)/C14)</f>
        <v>0.21610169491525424</v>
      </c>
      <c r="D33" s="492">
        <f t="shared" ref="D33:O34" si="21">IF(D15=0," ",(D15-D14)/D14)</f>
        <v>0.19382022471910107</v>
      </c>
      <c r="E33" s="492">
        <f t="shared" si="21"/>
        <v>0.39243027888446219</v>
      </c>
      <c r="F33" s="492">
        <f t="shared" si="21"/>
        <v>0.30861909175162183</v>
      </c>
      <c r="G33" s="492">
        <f t="shared" si="21"/>
        <v>0.22688356164383569</v>
      </c>
      <c r="H33" s="492">
        <f t="shared" si="21"/>
        <v>0.20494417862838915</v>
      </c>
      <c r="I33" s="492">
        <f t="shared" si="21"/>
        <v>0.44641275465013286</v>
      </c>
      <c r="J33" s="492">
        <f t="shared" si="21"/>
        <v>0.64512922465208766</v>
      </c>
      <c r="K33" s="492">
        <f t="shared" si="21"/>
        <v>0.71049840933191943</v>
      </c>
      <c r="L33" s="492">
        <f t="shared" si="21"/>
        <v>0.50285171102661586</v>
      </c>
      <c r="M33" s="492">
        <f t="shared" si="21"/>
        <v>0.50187265917602975</v>
      </c>
      <c r="N33" s="492">
        <f t="shared" si="21"/>
        <v>0.48503521126760546</v>
      </c>
      <c r="O33" s="492">
        <f t="shared" si="21"/>
        <v>0.39677846082016993</v>
      </c>
    </row>
    <row r="34" spans="2:15" x14ac:dyDescent="0.2">
      <c r="B34" s="491" t="s">
        <v>416</v>
      </c>
      <c r="C34" s="492">
        <f>IF(C16=0," ",(C16-C15)/C15)</f>
        <v>0.54181184668989535</v>
      </c>
      <c r="D34" s="492">
        <f t="shared" si="21"/>
        <v>0.295686274509804</v>
      </c>
      <c r="E34" s="492">
        <f t="shared" si="21"/>
        <v>8.3690987124463434E-2</v>
      </c>
      <c r="F34" s="492">
        <f t="shared" si="21"/>
        <v>-5.8073654390934738E-2</v>
      </c>
      <c r="G34" s="492">
        <f t="shared" si="21"/>
        <v>-4.6755059316120104E-2</v>
      </c>
      <c r="H34" s="492">
        <f t="shared" si="21"/>
        <v>-2.9119788219722137E-2</v>
      </c>
      <c r="I34" s="492">
        <f t="shared" si="21"/>
        <v>-7.7770973668095461E-2</v>
      </c>
      <c r="J34" s="492">
        <f t="shared" si="21"/>
        <v>-9.7885196374622466E-2</v>
      </c>
      <c r="K34" s="492">
        <f t="shared" si="21"/>
        <v>-8.4934903905765594E-2</v>
      </c>
      <c r="L34" s="492">
        <f t="shared" si="21"/>
        <v>-0.12523719165085379</v>
      </c>
      <c r="M34" s="492">
        <f t="shared" si="21"/>
        <v>-0.19763092269326671</v>
      </c>
      <c r="N34" s="492">
        <f t="shared" si="21"/>
        <v>-0.18968583283935983</v>
      </c>
      <c r="O34" s="492">
        <f t="shared" si="21"/>
        <v>-1.8830083565459576E-2</v>
      </c>
    </row>
    <row r="35" spans="2:15" x14ac:dyDescent="0.2">
      <c r="B35" s="491" t="s">
        <v>417</v>
      </c>
      <c r="C35" s="492">
        <f t="shared" ref="C35:O39" si="22">IF(C17=0," ",(C17-C16)/C16)</f>
        <v>-0.219774011299435</v>
      </c>
      <c r="D35" s="492">
        <f t="shared" si="22"/>
        <v>-0.20338983050847467</v>
      </c>
      <c r="E35" s="492">
        <f t="shared" si="22"/>
        <v>-9.4389438943894441E-2</v>
      </c>
      <c r="F35" s="492">
        <f t="shared" si="22"/>
        <v>2.2556390977443211E-3</v>
      </c>
      <c r="G35" s="492">
        <f t="shared" si="22"/>
        <v>-0.14568081991215229</v>
      </c>
      <c r="H35" s="492">
        <f t="shared" si="22"/>
        <v>-0.29447852760736198</v>
      </c>
      <c r="I35" s="492">
        <f t="shared" si="22"/>
        <v>-0.41367861885790175</v>
      </c>
      <c r="J35" s="492">
        <f t="shared" si="22"/>
        <v>-0.72605492297387808</v>
      </c>
      <c r="K35" s="492">
        <f t="shared" si="22"/>
        <v>-0.69444444444444442</v>
      </c>
      <c r="L35" s="492">
        <f t="shared" si="22"/>
        <v>-0.56182212581344904</v>
      </c>
      <c r="M35" s="492">
        <f t="shared" si="22"/>
        <v>-0.44599844599844601</v>
      </c>
      <c r="N35" s="492">
        <f t="shared" si="22"/>
        <v>-0.48207754206291142</v>
      </c>
      <c r="O35" s="492">
        <f t="shared" si="22"/>
        <v>-0.35419032477856005</v>
      </c>
    </row>
    <row r="36" spans="2:15" x14ac:dyDescent="0.2">
      <c r="B36" s="491" t="s">
        <v>418</v>
      </c>
      <c r="C36" s="492">
        <f t="shared" si="22"/>
        <v>-0.48587979724837077</v>
      </c>
      <c r="D36" s="492">
        <f t="shared" si="22"/>
        <v>-0.43920972644376893</v>
      </c>
      <c r="E36" s="492">
        <f t="shared" si="22"/>
        <v>-0.36224489795918369</v>
      </c>
      <c r="F36" s="492">
        <f t="shared" si="22"/>
        <v>-0.26106526631657911</v>
      </c>
      <c r="G36" s="492">
        <f t="shared" si="22"/>
        <v>-0.12082262210796917</v>
      </c>
      <c r="H36" s="492">
        <f t="shared" si="22"/>
        <v>0.16714975845410637</v>
      </c>
      <c r="I36" s="492">
        <f t="shared" si="22"/>
        <v>0.35900339750849369</v>
      </c>
      <c r="J36" s="492">
        <f t="shared" si="22"/>
        <v>2.1246943765281174</v>
      </c>
      <c r="K36" s="492">
        <f t="shared" si="22"/>
        <v>2.0177383592017737</v>
      </c>
      <c r="L36" s="492">
        <f t="shared" si="22"/>
        <v>1.2623762376237624</v>
      </c>
      <c r="M36" s="492">
        <f t="shared" si="22"/>
        <v>0.93267882187938289</v>
      </c>
      <c r="N36" s="492">
        <f t="shared" si="22"/>
        <v>1.1963276836158192</v>
      </c>
      <c r="O36" s="492">
        <f t="shared" si="22"/>
        <v>0.20318269737998931</v>
      </c>
    </row>
    <row r="37" spans="2:15" x14ac:dyDescent="0.2">
      <c r="B37" s="491" t="s">
        <v>419</v>
      </c>
      <c r="C37" s="492">
        <f t="shared" si="22"/>
        <v>1.4859154929577465</v>
      </c>
      <c r="D37" s="492">
        <f t="shared" si="22"/>
        <v>1.3401084010840105</v>
      </c>
      <c r="E37" s="492">
        <f t="shared" si="22"/>
        <v>0.76114285714285712</v>
      </c>
      <c r="F37" s="492">
        <f t="shared" si="22"/>
        <v>0.62538071065989831</v>
      </c>
      <c r="G37" s="492">
        <f t="shared" si="22"/>
        <v>0.91228070175438614</v>
      </c>
      <c r="H37" s="492">
        <f t="shared" si="22"/>
        <v>0.99089403973509915</v>
      </c>
      <c r="I37" s="492">
        <f t="shared" si="22"/>
        <v>1.4583333333333333</v>
      </c>
      <c r="J37" s="492">
        <f t="shared" si="22"/>
        <v>1.0297339593114243</v>
      </c>
      <c r="K37" s="492">
        <f t="shared" si="22"/>
        <v>1.210139603232917</v>
      </c>
      <c r="L37" s="492">
        <f t="shared" si="22"/>
        <v>1.2231947483588623</v>
      </c>
      <c r="M37" s="492">
        <f t="shared" si="22"/>
        <v>0.87735849056603754</v>
      </c>
      <c r="N37" s="492">
        <f t="shared" si="22"/>
        <v>0.66430868167202561</v>
      </c>
      <c r="O37" s="492">
        <f t="shared" si="22"/>
        <v>1.0296675191815858</v>
      </c>
    </row>
    <row r="38" spans="2:15" x14ac:dyDescent="0.2">
      <c r="B38" s="491" t="s">
        <v>420</v>
      </c>
      <c r="C38" s="492">
        <f t="shared" si="22"/>
        <v>0.45099150141643063</v>
      </c>
      <c r="D38" s="492">
        <f t="shared" si="22"/>
        <v>0.51881876085697731</v>
      </c>
      <c r="E38" s="492">
        <f t="shared" si="22"/>
        <v>0.38870863075924733</v>
      </c>
      <c r="F38" s="492">
        <f t="shared" si="22"/>
        <v>0.3422860712054967</v>
      </c>
      <c r="G38" s="492">
        <f t="shared" si="22"/>
        <v>8.053007135575932E-2</v>
      </c>
      <c r="H38" s="492">
        <f t="shared" si="22"/>
        <v>-0.1742203742203742</v>
      </c>
      <c r="I38" s="492">
        <f t="shared" si="22"/>
        <v>-0.39694915254237284</v>
      </c>
      <c r="J38" s="492">
        <f t="shared" si="22"/>
        <v>-0.36083269082498076</v>
      </c>
      <c r="K38" s="492">
        <f t="shared" si="22"/>
        <v>-0.47539893617021278</v>
      </c>
      <c r="L38" s="492">
        <f t="shared" si="22"/>
        <v>-0.442257217847769</v>
      </c>
      <c r="M38" s="492">
        <f t="shared" si="22"/>
        <v>-0.27947429454967138</v>
      </c>
      <c r="N38" s="492">
        <f t="shared" si="22"/>
        <v>-0.14837712519319926</v>
      </c>
      <c r="O38" s="492">
        <f t="shared" si="22"/>
        <v>-0.12291186635944713</v>
      </c>
    </row>
    <row r="39" spans="2:15" x14ac:dyDescent="0.2">
      <c r="B39" s="491" t="s">
        <v>425</v>
      </c>
      <c r="C39" s="492">
        <f t="shared" si="22"/>
        <v>-0.11479890667707919</v>
      </c>
      <c r="D39" s="492">
        <f t="shared" si="22"/>
        <v>-0.15364086923370179</v>
      </c>
      <c r="E39" s="492">
        <f t="shared" si="22"/>
        <v>-6.7757009345794331E-2</v>
      </c>
      <c r="F39" s="492">
        <f t="shared" si="22"/>
        <v>-0.13541181945090747</v>
      </c>
      <c r="G39" s="492" t="str">
        <f t="shared" si="22"/>
        <v xml:space="preserve"> </v>
      </c>
      <c r="H39" s="492" t="str">
        <f t="shared" si="22"/>
        <v xml:space="preserve"> </v>
      </c>
      <c r="I39" s="492" t="str">
        <f t="shared" si="22"/>
        <v xml:space="preserve"> </v>
      </c>
      <c r="J39" s="492" t="str">
        <f t="shared" si="22"/>
        <v xml:space="preserve"> </v>
      </c>
      <c r="K39" s="492" t="str">
        <f t="shared" si="22"/>
        <v xml:space="preserve"> </v>
      </c>
      <c r="L39" s="492" t="str">
        <f t="shared" si="22"/>
        <v xml:space="preserve"> </v>
      </c>
      <c r="M39" s="492" t="str">
        <f t="shared" si="22"/>
        <v xml:space="preserve"> </v>
      </c>
      <c r="N39" s="492" t="str">
        <f t="shared" si="22"/>
        <v xml:space="preserve"> </v>
      </c>
      <c r="O39" s="492">
        <f t="shared" si="22"/>
        <v>2.7009276742467812E-2</v>
      </c>
    </row>
    <row r="40" spans="2:15" x14ac:dyDescent="0.2">
      <c r="B40" s="491"/>
      <c r="C40" s="493"/>
      <c r="D40" s="493"/>
      <c r="E40" s="493"/>
      <c r="F40" s="493"/>
      <c r="G40" s="493"/>
      <c r="H40" s="493"/>
      <c r="I40" s="493"/>
      <c r="J40" s="493"/>
      <c r="K40" s="493"/>
      <c r="L40" s="493"/>
      <c r="M40" s="493"/>
      <c r="N40" s="493"/>
      <c r="O40" s="493"/>
    </row>
    <row r="41" spans="2:15" ht="15" x14ac:dyDescent="0.25">
      <c r="B41" s="491"/>
      <c r="C41" s="489" t="s">
        <v>421</v>
      </c>
      <c r="D41" s="493"/>
      <c r="E41" s="493"/>
      <c r="F41" s="493"/>
      <c r="G41" s="493"/>
      <c r="H41" s="493"/>
      <c r="I41" s="493"/>
      <c r="J41" s="493"/>
      <c r="K41" s="493"/>
      <c r="L41" s="493"/>
      <c r="M41" s="493"/>
      <c r="N41" s="493"/>
      <c r="O41" s="493"/>
    </row>
    <row r="42" spans="2:15" x14ac:dyDescent="0.2">
      <c r="B42" s="491"/>
      <c r="C42" s="493"/>
      <c r="D42" s="493"/>
      <c r="E42" s="493"/>
      <c r="F42" s="493"/>
      <c r="G42" s="493"/>
      <c r="H42" s="493"/>
      <c r="I42" s="493"/>
      <c r="J42" s="493"/>
      <c r="K42" s="493"/>
      <c r="L42" s="493"/>
      <c r="M42" s="493"/>
      <c r="N42" s="493"/>
      <c r="O42" s="493"/>
    </row>
    <row r="43" spans="2:15" x14ac:dyDescent="0.2">
      <c r="B43" s="491"/>
      <c r="C43" s="493"/>
      <c r="D43" s="493"/>
      <c r="E43" s="493"/>
      <c r="F43" s="493"/>
      <c r="G43" s="493"/>
      <c r="H43" s="493"/>
      <c r="I43" s="493"/>
      <c r="J43" s="493"/>
      <c r="K43" s="493"/>
      <c r="L43" s="493"/>
      <c r="M43" s="493"/>
      <c r="N43" s="493"/>
      <c r="O43" s="493"/>
    </row>
    <row r="44" spans="2:15" x14ac:dyDescent="0.2">
      <c r="B44" s="491"/>
      <c r="C44" s="493"/>
      <c r="D44" s="493"/>
      <c r="E44" s="493"/>
      <c r="F44" s="493"/>
      <c r="G44" s="493"/>
      <c r="H44" s="493"/>
      <c r="I44" s="493"/>
      <c r="J44" s="493"/>
      <c r="K44" s="493"/>
      <c r="L44" s="493"/>
      <c r="M44" s="493"/>
      <c r="N44" s="493"/>
      <c r="O44" s="493"/>
    </row>
    <row r="45" spans="2:15" x14ac:dyDescent="0.2">
      <c r="B45" s="491"/>
      <c r="C45" s="493"/>
      <c r="D45" s="493"/>
      <c r="E45" s="493"/>
      <c r="F45" s="493"/>
      <c r="G45" s="493"/>
      <c r="H45" s="493"/>
      <c r="I45" s="493"/>
      <c r="J45" s="493"/>
      <c r="K45" s="493"/>
      <c r="L45" s="493"/>
      <c r="M45" s="493"/>
      <c r="N45" s="493"/>
      <c r="O45" s="493"/>
    </row>
    <row r="46" spans="2:15" x14ac:dyDescent="0.2">
      <c r="B46" s="491"/>
      <c r="C46" s="493"/>
      <c r="D46" s="493"/>
      <c r="E46" s="493"/>
      <c r="F46" s="493"/>
      <c r="G46" s="493"/>
      <c r="H46" s="493"/>
      <c r="I46" s="493"/>
      <c r="J46" s="493"/>
      <c r="K46" s="493"/>
      <c r="L46" s="493"/>
      <c r="M46" s="493"/>
      <c r="N46" s="493"/>
      <c r="O46" s="493"/>
    </row>
    <row r="47" spans="2:15" x14ac:dyDescent="0.2">
      <c r="B47" s="491"/>
      <c r="C47" s="493"/>
      <c r="D47" s="493"/>
      <c r="E47" s="493"/>
      <c r="F47" s="493"/>
      <c r="G47" s="493"/>
      <c r="H47" s="493"/>
      <c r="I47" s="493"/>
      <c r="J47" s="493"/>
      <c r="K47" s="493"/>
      <c r="L47" s="493"/>
      <c r="M47" s="493"/>
      <c r="N47" s="493"/>
      <c r="O47" s="493"/>
    </row>
    <row r="48" spans="2:15" x14ac:dyDescent="0.2">
      <c r="B48" s="491"/>
      <c r="C48" s="493"/>
      <c r="D48" s="493"/>
      <c r="E48" s="493"/>
      <c r="F48" s="493"/>
      <c r="G48" s="493"/>
      <c r="H48" s="493"/>
      <c r="I48" s="493"/>
      <c r="J48" s="493"/>
      <c r="K48" s="493"/>
      <c r="L48" s="493"/>
      <c r="M48" s="493"/>
      <c r="N48" s="493"/>
      <c r="O48" s="493"/>
    </row>
    <row r="49" spans="2:15" x14ac:dyDescent="0.2">
      <c r="B49" s="491"/>
      <c r="C49" s="493"/>
      <c r="D49" s="493"/>
      <c r="E49" s="493"/>
      <c r="F49" s="493"/>
      <c r="G49" s="493"/>
      <c r="H49" s="493"/>
      <c r="I49" s="493"/>
      <c r="J49" s="493"/>
      <c r="K49" s="493"/>
      <c r="L49" s="493"/>
      <c r="M49" s="493"/>
      <c r="N49" s="493"/>
      <c r="O49" s="493"/>
    </row>
    <row r="50" spans="2:15" x14ac:dyDescent="0.2">
      <c r="B50" s="491"/>
      <c r="C50" s="493"/>
      <c r="D50" s="493"/>
      <c r="E50" s="493"/>
      <c r="F50" s="493"/>
      <c r="G50" s="493"/>
      <c r="H50" s="493"/>
      <c r="I50" s="493"/>
      <c r="J50" s="493"/>
      <c r="K50" s="493"/>
      <c r="L50" s="493"/>
      <c r="M50" s="493"/>
      <c r="N50" s="493"/>
      <c r="O50" s="493"/>
    </row>
    <row r="51" spans="2:15" x14ac:dyDescent="0.2">
      <c r="B51" s="491"/>
      <c r="C51" s="493"/>
      <c r="D51" s="493"/>
      <c r="E51" s="493"/>
      <c r="F51" s="493"/>
      <c r="G51" s="493"/>
      <c r="H51" s="493"/>
      <c r="I51" s="493"/>
      <c r="J51" s="493"/>
      <c r="K51" s="493"/>
      <c r="L51" s="493"/>
      <c r="M51" s="493"/>
      <c r="N51" s="493"/>
      <c r="O51" s="493"/>
    </row>
    <row r="52" spans="2:15" x14ac:dyDescent="0.2">
      <c r="B52" s="491"/>
      <c r="C52" s="493"/>
      <c r="D52" s="493"/>
      <c r="E52" s="493"/>
      <c r="F52" s="493"/>
      <c r="G52" s="493"/>
      <c r="H52" s="493"/>
      <c r="I52" s="493"/>
      <c r="J52" s="493"/>
      <c r="K52" s="493"/>
      <c r="L52" s="493"/>
      <c r="M52" s="493"/>
      <c r="N52" s="493"/>
      <c r="O52" s="493"/>
    </row>
    <row r="53" spans="2:15" x14ac:dyDescent="0.2">
      <c r="B53" s="491"/>
      <c r="C53" s="493"/>
      <c r="D53" s="493"/>
      <c r="E53" s="493"/>
      <c r="F53" s="493"/>
      <c r="G53" s="493"/>
      <c r="H53" s="493"/>
      <c r="I53" s="493"/>
      <c r="J53" s="493"/>
      <c r="K53" s="493"/>
      <c r="L53" s="493"/>
      <c r="M53" s="493"/>
      <c r="N53" s="493"/>
      <c r="O53" s="493"/>
    </row>
    <row r="54" spans="2:15" x14ac:dyDescent="0.2">
      <c r="B54" s="491"/>
      <c r="C54" s="493"/>
      <c r="D54" s="493"/>
      <c r="E54" s="493"/>
      <c r="F54" s="493"/>
      <c r="G54" s="493"/>
      <c r="H54" s="493"/>
      <c r="I54" s="493"/>
      <c r="J54" s="493"/>
      <c r="K54" s="493"/>
      <c r="L54" s="493"/>
      <c r="M54" s="493"/>
      <c r="N54" s="493"/>
      <c r="O54" s="493"/>
    </row>
    <row r="55" spans="2:15" x14ac:dyDescent="0.2">
      <c r="B55" s="491"/>
      <c r="C55" s="493"/>
      <c r="D55" s="493"/>
      <c r="E55" s="493"/>
      <c r="F55" s="493"/>
      <c r="G55" s="493"/>
      <c r="H55" s="493"/>
      <c r="I55" s="493"/>
      <c r="J55" s="493"/>
      <c r="K55" s="493"/>
      <c r="L55" s="493"/>
      <c r="M55" s="493"/>
      <c r="N55" s="493"/>
      <c r="O55" s="493"/>
    </row>
    <row r="56" spans="2:15" x14ac:dyDescent="0.2">
      <c r="B56" s="491"/>
      <c r="C56" s="493"/>
      <c r="D56" s="493"/>
      <c r="E56" s="493"/>
      <c r="F56" s="493"/>
      <c r="G56" s="493"/>
      <c r="H56" s="493"/>
      <c r="I56" s="493"/>
      <c r="J56" s="493"/>
      <c r="K56" s="493"/>
      <c r="L56" s="493"/>
      <c r="M56" s="493"/>
      <c r="N56" s="493"/>
      <c r="O56" s="493"/>
    </row>
    <row r="57" spans="2:15" x14ac:dyDescent="0.2">
      <c r="B57" s="491"/>
      <c r="C57" s="493"/>
      <c r="D57" s="493"/>
      <c r="E57" s="493"/>
      <c r="F57" s="493"/>
      <c r="G57" s="493"/>
      <c r="H57" s="493"/>
      <c r="I57" s="493"/>
      <c r="J57" s="493"/>
      <c r="K57" s="493"/>
      <c r="L57" s="493"/>
      <c r="M57" s="493"/>
      <c r="N57" s="493"/>
      <c r="O57" s="493"/>
    </row>
    <row r="58" spans="2:15" x14ac:dyDescent="0.2">
      <c r="B58" s="491"/>
      <c r="C58" s="493"/>
      <c r="D58" s="493"/>
      <c r="E58" s="493"/>
      <c r="F58" s="493"/>
      <c r="G58" s="493"/>
      <c r="H58" s="493"/>
      <c r="I58" s="493"/>
      <c r="J58" s="493"/>
      <c r="K58" s="493"/>
      <c r="L58" s="493"/>
      <c r="M58" s="493"/>
      <c r="N58" s="493"/>
      <c r="O58" s="493"/>
    </row>
    <row r="59" spans="2:15" x14ac:dyDescent="0.2">
      <c r="B59" s="491"/>
      <c r="C59" s="493"/>
      <c r="D59" s="493"/>
      <c r="E59" s="493"/>
      <c r="F59" s="493"/>
      <c r="G59" s="493"/>
      <c r="H59" s="493"/>
      <c r="I59" s="493"/>
      <c r="J59" s="493"/>
      <c r="K59" s="493"/>
      <c r="L59" s="493"/>
      <c r="M59" s="493"/>
      <c r="N59" s="493"/>
      <c r="O59" s="493"/>
    </row>
    <row r="60" spans="2:15" x14ac:dyDescent="0.2">
      <c r="B60" s="491"/>
      <c r="C60" s="493"/>
      <c r="D60" s="493"/>
      <c r="E60" s="493"/>
      <c r="F60" s="493"/>
      <c r="G60" s="493"/>
      <c r="H60" s="493"/>
      <c r="I60" s="493"/>
      <c r="J60" s="493"/>
      <c r="K60" s="493"/>
      <c r="L60" s="493"/>
      <c r="M60" s="493"/>
      <c r="N60" s="493"/>
      <c r="O60" s="493"/>
    </row>
    <row r="61" spans="2:15" ht="15" x14ac:dyDescent="0.25">
      <c r="B61" s="491"/>
      <c r="C61" s="489"/>
      <c r="D61" s="493"/>
      <c r="E61" s="493"/>
      <c r="F61" s="493"/>
      <c r="G61" s="493"/>
      <c r="H61" s="493"/>
      <c r="I61" s="493"/>
      <c r="J61" s="493"/>
      <c r="K61" s="493"/>
      <c r="L61" s="493"/>
      <c r="M61" s="493"/>
      <c r="N61" s="493"/>
      <c r="O61" s="493"/>
    </row>
    <row r="62" spans="2:15" x14ac:dyDescent="0.2">
      <c r="B62" s="491"/>
      <c r="C62" s="493"/>
      <c r="D62" s="493"/>
      <c r="E62" s="493"/>
      <c r="F62" s="493"/>
      <c r="G62" s="493"/>
      <c r="H62" s="493"/>
      <c r="I62" s="493"/>
      <c r="J62" s="493"/>
      <c r="K62" s="493"/>
      <c r="L62" s="493"/>
      <c r="M62" s="493"/>
      <c r="N62" s="493"/>
      <c r="O62" s="493"/>
    </row>
    <row r="63" spans="2:15" x14ac:dyDescent="0.2">
      <c r="B63" s="491"/>
      <c r="C63" s="493"/>
      <c r="D63" s="493"/>
      <c r="E63" s="493"/>
      <c r="F63" s="493"/>
      <c r="G63" s="493"/>
      <c r="H63" s="493"/>
      <c r="I63" s="493"/>
      <c r="J63" s="493"/>
      <c r="K63" s="493"/>
      <c r="L63" s="493"/>
      <c r="M63" s="493"/>
      <c r="N63" s="493"/>
      <c r="O63" s="493"/>
    </row>
    <row r="64" spans="2:15" x14ac:dyDescent="0.2">
      <c r="B64" s="491"/>
      <c r="C64" s="493"/>
      <c r="D64" s="493"/>
      <c r="E64" s="493"/>
      <c r="F64" s="493"/>
      <c r="G64" s="493"/>
      <c r="H64" s="493"/>
      <c r="I64" s="493"/>
      <c r="J64" s="493"/>
      <c r="K64" s="493"/>
      <c r="L64" s="493"/>
      <c r="M64" s="493"/>
      <c r="N64" s="493"/>
      <c r="O64" s="493"/>
    </row>
    <row r="65" spans="2:15" x14ac:dyDescent="0.2">
      <c r="B65" s="491"/>
      <c r="C65" s="493"/>
      <c r="D65" s="493"/>
      <c r="E65" s="493"/>
      <c r="F65" s="493"/>
      <c r="G65" s="493"/>
      <c r="H65" s="493"/>
      <c r="I65" s="493"/>
      <c r="J65" s="493"/>
      <c r="K65" s="493"/>
      <c r="L65" s="493"/>
      <c r="M65" s="493"/>
      <c r="N65" s="493"/>
      <c r="O65" s="493"/>
    </row>
    <row r="66" spans="2:15" x14ac:dyDescent="0.2">
      <c r="B66" s="491"/>
      <c r="C66" s="493"/>
      <c r="D66" s="493"/>
      <c r="E66" s="493"/>
      <c r="F66" s="493"/>
      <c r="G66" s="493"/>
      <c r="H66" s="493"/>
      <c r="I66" s="493"/>
      <c r="J66" s="493"/>
      <c r="K66" s="493"/>
      <c r="L66" s="493"/>
      <c r="M66" s="493"/>
      <c r="N66" s="493"/>
      <c r="O66" s="493"/>
    </row>
    <row r="67" spans="2:15" x14ac:dyDescent="0.2">
      <c r="B67" s="491"/>
      <c r="C67" s="493"/>
      <c r="D67" s="493"/>
      <c r="E67" s="493"/>
      <c r="F67" s="493"/>
      <c r="G67" s="493"/>
      <c r="H67" s="493"/>
      <c r="I67" s="493"/>
      <c r="J67" s="493"/>
      <c r="K67" s="493"/>
      <c r="L67" s="493"/>
      <c r="M67" s="493"/>
      <c r="N67" s="493"/>
      <c r="O67" s="493"/>
    </row>
    <row r="68" spans="2:15" x14ac:dyDescent="0.2">
      <c r="B68" s="491"/>
      <c r="C68" s="493"/>
      <c r="D68" s="493"/>
      <c r="E68" s="493"/>
      <c r="F68" s="493"/>
      <c r="G68" s="493"/>
      <c r="H68" s="493"/>
      <c r="I68" s="493"/>
      <c r="J68" s="493"/>
      <c r="K68" s="493"/>
      <c r="L68" s="493"/>
      <c r="M68" s="493"/>
      <c r="N68" s="493"/>
      <c r="O68" s="493"/>
    </row>
    <row r="69" spans="2:15" x14ac:dyDescent="0.2">
      <c r="B69" s="491"/>
      <c r="C69" s="493"/>
      <c r="D69" s="493"/>
      <c r="E69" s="493"/>
      <c r="F69" s="493"/>
      <c r="G69" s="493"/>
      <c r="H69" s="493"/>
      <c r="I69" s="493"/>
      <c r="J69" s="493"/>
      <c r="K69" s="493"/>
      <c r="L69" s="493"/>
      <c r="M69" s="493"/>
      <c r="N69" s="493"/>
      <c r="O69" s="493"/>
    </row>
    <row r="70" spans="2:15" x14ac:dyDescent="0.2">
      <c r="B70" s="491"/>
      <c r="C70" s="493"/>
      <c r="D70" s="493"/>
      <c r="E70" s="493"/>
      <c r="F70" s="493"/>
      <c r="G70" s="493"/>
      <c r="H70" s="493"/>
      <c r="I70" s="493"/>
      <c r="J70" s="493"/>
      <c r="K70" s="493"/>
      <c r="L70" s="493"/>
      <c r="M70" s="493"/>
      <c r="N70" s="493"/>
      <c r="O70" s="493"/>
    </row>
    <row r="72" spans="2:15" x14ac:dyDescent="0.2">
      <c r="D72" s="476" t="s">
        <v>185</v>
      </c>
    </row>
    <row r="79" spans="2:15" x14ac:dyDescent="0.2">
      <c r="N79" s="476" t="s">
        <v>185</v>
      </c>
    </row>
    <row r="87" spans="10:10" x14ac:dyDescent="0.2">
      <c r="J87" s="476" t="s">
        <v>185</v>
      </c>
    </row>
  </sheetData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E0F4-10E0-411C-B29A-0A07DF1C24EC}">
  <sheetPr>
    <tabColor rgb="FFFFFF00"/>
  </sheetPr>
  <dimension ref="A1:Q175"/>
  <sheetViews>
    <sheetView topLeftCell="A112" zoomScaleNormal="100" workbookViewId="0">
      <selection activeCell="L129" sqref="L129"/>
    </sheetView>
  </sheetViews>
  <sheetFormatPr defaultRowHeight="15" x14ac:dyDescent="0.25"/>
  <cols>
    <col min="1" max="1" width="3.42578125" customWidth="1"/>
    <col min="2" max="2" width="28.140625" customWidth="1"/>
    <col min="3" max="3" width="3.7109375" customWidth="1"/>
    <col min="4" max="4" width="12" customWidth="1"/>
    <col min="5" max="5" width="11.7109375" customWidth="1"/>
    <col min="6" max="6" width="12" customWidth="1"/>
    <col min="7" max="7" width="14.5703125" customWidth="1"/>
    <col min="8" max="8" width="3.7109375" style="234" customWidth="1"/>
    <col min="9" max="9" width="14.5703125" customWidth="1"/>
    <col min="10" max="10" width="15.28515625" style="466" customWidth="1"/>
    <col min="11" max="17" width="9.140625" style="234"/>
  </cols>
  <sheetData>
    <row r="1" spans="1:10" x14ac:dyDescent="0.25">
      <c r="A1" s="1"/>
      <c r="B1" s="2" t="s">
        <v>280</v>
      </c>
      <c r="C1" s="3"/>
      <c r="D1" s="3"/>
      <c r="E1" s="3"/>
      <c r="F1" s="3"/>
      <c r="G1" s="3"/>
      <c r="I1" s="234"/>
      <c r="J1" s="438"/>
    </row>
    <row r="2" spans="1:10" ht="15.75" thickBot="1" x14ac:dyDescent="0.3">
      <c r="A2" s="7"/>
      <c r="B2" s="7"/>
      <c r="C2" s="8"/>
      <c r="D2" s="8"/>
      <c r="E2" s="8"/>
      <c r="F2" s="8"/>
      <c r="G2" s="8"/>
      <c r="I2" s="234"/>
      <c r="J2" s="438"/>
    </row>
    <row r="3" spans="1:10" ht="15.75" thickBot="1" x14ac:dyDescent="0.3">
      <c r="A3" s="7"/>
      <c r="B3" s="207" t="s">
        <v>0</v>
      </c>
      <c r="C3" s="8"/>
      <c r="D3" s="191" t="s">
        <v>446</v>
      </c>
      <c r="E3" s="191" t="s">
        <v>447</v>
      </c>
      <c r="F3" s="193" t="s">
        <v>282</v>
      </c>
      <c r="G3" s="193" t="s">
        <v>153</v>
      </c>
      <c r="I3" s="235" t="s">
        <v>448</v>
      </c>
      <c r="J3" s="439" t="s">
        <v>151</v>
      </c>
    </row>
    <row r="4" spans="1:10" ht="15.75" thickBot="1" x14ac:dyDescent="0.3">
      <c r="A4" s="1"/>
      <c r="B4" s="1"/>
      <c r="C4" s="3"/>
      <c r="D4" s="3"/>
      <c r="E4" s="5"/>
      <c r="F4" s="5"/>
      <c r="G4" s="5"/>
      <c r="I4" s="6"/>
      <c r="J4" s="440"/>
    </row>
    <row r="5" spans="1:10" ht="15.75" thickBot="1" x14ac:dyDescent="0.3">
      <c r="A5" s="1"/>
      <c r="B5" s="202" t="s">
        <v>15</v>
      </c>
      <c r="C5" s="3"/>
      <c r="D5" s="526">
        <v>3154524.1599999997</v>
      </c>
      <c r="E5" s="517">
        <v>3364420.3100000005</v>
      </c>
      <c r="F5" s="309">
        <f>+[6]Data!E5</f>
        <v>3020537.23</v>
      </c>
      <c r="G5" s="309">
        <f>+[6]Data!G5</f>
        <v>2730915.36</v>
      </c>
      <c r="I5" s="248">
        <f>E5-F5</f>
        <v>343883.08000000054</v>
      </c>
      <c r="J5" s="441">
        <f>+I5/F5</f>
        <v>0.11384831697638123</v>
      </c>
    </row>
    <row r="6" spans="1:10" x14ac:dyDescent="0.25">
      <c r="A6" s="2"/>
      <c r="B6" s="203" t="s">
        <v>16</v>
      </c>
      <c r="C6" s="4"/>
      <c r="D6" s="527">
        <f>SUM(D5)</f>
        <v>3154524.1599999997</v>
      </c>
      <c r="E6" s="310">
        <f>SUM(E5)</f>
        <v>3364420.3100000005</v>
      </c>
      <c r="F6" s="310">
        <f>SUM(F5)</f>
        <v>3020537.23</v>
      </c>
      <c r="G6" s="310">
        <f>+G5</f>
        <v>2730915.36</v>
      </c>
      <c r="I6" s="237">
        <f>E6-F6</f>
        <v>343883.08000000054</v>
      </c>
      <c r="J6" s="442">
        <f>+I6/F6</f>
        <v>0.11384831697638123</v>
      </c>
    </row>
    <row r="7" spans="1:10" x14ac:dyDescent="0.25">
      <c r="A7" s="1"/>
      <c r="B7" s="204"/>
      <c r="C7" s="3"/>
      <c r="D7" s="528"/>
      <c r="E7" s="311"/>
      <c r="F7" s="311"/>
      <c r="G7" s="311"/>
      <c r="I7" s="238">
        <f>+I6/F6</f>
        <v>0.11384831697638123</v>
      </c>
      <c r="J7" s="443"/>
    </row>
    <row r="8" spans="1:10" x14ac:dyDescent="0.25">
      <c r="A8" s="1"/>
      <c r="B8" s="204" t="s">
        <v>17</v>
      </c>
      <c r="C8" s="3"/>
      <c r="D8" s="528">
        <v>1174837.2537860002</v>
      </c>
      <c r="E8" s="311">
        <v>1223614.19</v>
      </c>
      <c r="F8" s="311">
        <f>+[6]Data!E8</f>
        <v>1175693.3900000001</v>
      </c>
      <c r="G8" s="311">
        <f>+[6]Data!G8</f>
        <v>1061412.32</v>
      </c>
      <c r="I8" s="237">
        <f t="shared" ref="I8:I13" si="0">E8-F8</f>
        <v>47920.799999999814</v>
      </c>
      <c r="J8" s="442">
        <f t="shared" ref="J8:J13" si="1">+I8/F8</f>
        <v>4.0759606550139584E-2</v>
      </c>
    </row>
    <row r="9" spans="1:10" x14ac:dyDescent="0.25">
      <c r="A9" s="1"/>
      <c r="B9" s="204" t="s">
        <v>18</v>
      </c>
      <c r="C9" s="3"/>
      <c r="D9" s="528">
        <v>1093846.9984637713</v>
      </c>
      <c r="E9" s="311">
        <v>1142248.6400000001</v>
      </c>
      <c r="F9" s="311">
        <f>+[6]Data!E9</f>
        <v>1124972.3800000001</v>
      </c>
      <c r="G9" s="311">
        <f>+[6]Data!G9</f>
        <v>917709.14999999991</v>
      </c>
      <c r="I9" s="237">
        <f t="shared" si="0"/>
        <v>17276.260000000009</v>
      </c>
      <c r="J9" s="442">
        <f t="shared" si="1"/>
        <v>1.5357052588259996E-2</v>
      </c>
    </row>
    <row r="10" spans="1:10" x14ac:dyDescent="0.25">
      <c r="A10" s="1"/>
      <c r="B10" s="204" t="s">
        <v>19</v>
      </c>
      <c r="C10" s="3"/>
      <c r="D10" s="528">
        <v>412743.19206849387</v>
      </c>
      <c r="E10" s="311">
        <v>505209.91159260168</v>
      </c>
      <c r="F10" s="311">
        <f>+[6]Data!E10</f>
        <v>466558.68400000001</v>
      </c>
      <c r="G10" s="311">
        <f>+[6]Data!G10</f>
        <v>364864.27866644401</v>
      </c>
      <c r="I10" s="237">
        <f t="shared" si="0"/>
        <v>38651.227592601674</v>
      </c>
      <c r="J10" s="442">
        <f t="shared" si="1"/>
        <v>8.2843228339956637E-2</v>
      </c>
    </row>
    <row r="11" spans="1:10" x14ac:dyDescent="0.25">
      <c r="A11" s="1"/>
      <c r="B11" s="204" t="s">
        <v>20</v>
      </c>
      <c r="C11" s="3"/>
      <c r="D11" s="528">
        <v>88151.837449999992</v>
      </c>
      <c r="E11" s="311">
        <v>95524.080000000016</v>
      </c>
      <c r="F11" s="311">
        <f>+[6]Data!E11</f>
        <v>89624</v>
      </c>
      <c r="G11" s="311">
        <f>+[6]Data!G11</f>
        <v>74252</v>
      </c>
      <c r="I11" s="237">
        <f t="shared" si="0"/>
        <v>5900.0800000000163</v>
      </c>
      <c r="J11" s="442">
        <f t="shared" si="1"/>
        <v>6.5831473712398642E-2</v>
      </c>
    </row>
    <row r="12" spans="1:10" ht="15.75" thickBot="1" x14ac:dyDescent="0.3">
      <c r="A12" s="1"/>
      <c r="B12" s="205" t="s">
        <v>21</v>
      </c>
      <c r="C12" s="3"/>
      <c r="D12" s="529">
        <v>384937</v>
      </c>
      <c r="E12" s="312">
        <v>389769.0199999999</v>
      </c>
      <c r="F12" s="312">
        <f>+[6]Data!E12</f>
        <v>337788</v>
      </c>
      <c r="G12" s="312">
        <f>+[6]Data!G12</f>
        <v>283692</v>
      </c>
      <c r="I12" s="246">
        <f t="shared" si="0"/>
        <v>51981.019999999902</v>
      </c>
      <c r="J12" s="444">
        <f t="shared" si="1"/>
        <v>0.15388652053950969</v>
      </c>
    </row>
    <row r="13" spans="1:10" ht="15.75" thickBot="1" x14ac:dyDescent="0.3">
      <c r="A13" s="2"/>
      <c r="B13" s="203" t="s">
        <v>22</v>
      </c>
      <c r="C13" s="4"/>
      <c r="D13" s="313">
        <f>SUM(D8:D12)</f>
        <v>3154516.2817682656</v>
      </c>
      <c r="E13" s="313">
        <f>SUM(E8:E12)</f>
        <v>3356365.841592602</v>
      </c>
      <c r="F13" s="313">
        <f>SUM(F8:F12)</f>
        <v>3194636.4540000004</v>
      </c>
      <c r="G13" s="313">
        <f>SUM(G8:G12)</f>
        <v>2701929.7486664439</v>
      </c>
      <c r="I13" s="239">
        <f t="shared" si="0"/>
        <v>161729.38759260159</v>
      </c>
      <c r="J13" s="443">
        <f t="shared" si="1"/>
        <v>5.0625287077689367E-2</v>
      </c>
    </row>
    <row r="14" spans="1:10" x14ac:dyDescent="0.25">
      <c r="A14" s="1"/>
      <c r="B14" s="204"/>
      <c r="C14" s="3"/>
      <c r="D14" s="520"/>
      <c r="E14" s="311"/>
      <c r="F14" s="311"/>
      <c r="G14" s="311"/>
      <c r="I14" s="240">
        <f>+I13/F13</f>
        <v>5.0625287077689367E-2</v>
      </c>
      <c r="J14" s="442"/>
    </row>
    <row r="15" spans="1:10" x14ac:dyDescent="0.25">
      <c r="A15" s="1"/>
      <c r="B15" s="204" t="s">
        <v>23</v>
      </c>
      <c r="C15" s="3"/>
      <c r="D15" s="528">
        <v>-1138588.78</v>
      </c>
      <c r="E15" s="311">
        <v>-1140358</v>
      </c>
      <c r="F15" s="311">
        <f>[6]Data!E15</f>
        <v>-983249</v>
      </c>
      <c r="G15" s="311">
        <f>[6]Data!G15</f>
        <v>-983249</v>
      </c>
      <c r="I15" s="237">
        <f t="shared" ref="I15:I24" si="2">E15-F15</f>
        <v>-157109</v>
      </c>
      <c r="J15" s="442">
        <f>+I15/F15</f>
        <v>0.15978556805041247</v>
      </c>
    </row>
    <row r="16" spans="1:10" x14ac:dyDescent="0.25">
      <c r="A16" s="1"/>
      <c r="B16" s="204" t="s">
        <v>24</v>
      </c>
      <c r="C16" s="3"/>
      <c r="D16" s="528">
        <v>1138588.78</v>
      </c>
      <c r="E16" s="311">
        <v>1140358</v>
      </c>
      <c r="F16" s="311">
        <f>[6]Data!E16</f>
        <v>983249</v>
      </c>
      <c r="G16" s="311">
        <f>[6]Data!G16</f>
        <v>983249</v>
      </c>
      <c r="I16" s="237">
        <f t="shared" si="2"/>
        <v>157109</v>
      </c>
      <c r="J16" s="442">
        <f>+I16/F16</f>
        <v>0.15978556805041247</v>
      </c>
    </row>
    <row r="17" spans="1:10" ht="15.75" thickBot="1" x14ac:dyDescent="0.3">
      <c r="A17" s="1"/>
      <c r="B17" s="205" t="s">
        <v>25</v>
      </c>
      <c r="C17" s="3"/>
      <c r="D17" s="518"/>
      <c r="E17" s="311"/>
      <c r="F17" s="311"/>
      <c r="G17" s="311"/>
      <c r="I17" s="246">
        <f t="shared" si="2"/>
        <v>0</v>
      </c>
      <c r="J17" s="444"/>
    </row>
    <row r="18" spans="1:10" x14ac:dyDescent="0.25">
      <c r="A18" s="2"/>
      <c r="B18" s="203" t="s">
        <v>26</v>
      </c>
      <c r="C18" s="4"/>
      <c r="D18" s="313">
        <f>SUM(D15:D17)</f>
        <v>0</v>
      </c>
      <c r="E18" s="313">
        <f>SUM(E15:E17)</f>
        <v>0</v>
      </c>
      <c r="F18" s="313">
        <f>SUM(F15:F17)</f>
        <v>0</v>
      </c>
      <c r="G18" s="313">
        <f>SUM(I15:I17)</f>
        <v>0</v>
      </c>
      <c r="I18" s="237">
        <f t="shared" si="2"/>
        <v>0</v>
      </c>
      <c r="J18" s="442"/>
    </row>
    <row r="19" spans="1:10" x14ac:dyDescent="0.25">
      <c r="A19" s="1"/>
      <c r="B19" s="204"/>
      <c r="C19" s="3"/>
      <c r="D19" s="222"/>
      <c r="E19" s="311"/>
      <c r="F19" s="311"/>
      <c r="G19" s="311"/>
      <c r="I19" s="237">
        <f t="shared" si="2"/>
        <v>0</v>
      </c>
      <c r="J19" s="442"/>
    </row>
    <row r="20" spans="1:10" x14ac:dyDescent="0.25">
      <c r="A20" s="1"/>
      <c r="B20" s="204" t="s">
        <v>27</v>
      </c>
      <c r="C20" s="3"/>
      <c r="D20" s="528">
        <v>-197484</v>
      </c>
      <c r="E20" s="315">
        <v>-193608</v>
      </c>
      <c r="F20" s="315">
        <f>+[6]Data!E20</f>
        <v>-145206</v>
      </c>
      <c r="G20" s="315">
        <f>+[6]Data!G20</f>
        <v>-145206</v>
      </c>
      <c r="I20" s="237">
        <f t="shared" si="2"/>
        <v>-48402</v>
      </c>
      <c r="J20" s="442">
        <f>+I20/F20</f>
        <v>0.33333333333333331</v>
      </c>
    </row>
    <row r="21" spans="1:10" x14ac:dyDescent="0.25">
      <c r="A21" s="1"/>
      <c r="B21" s="204" t="s">
        <v>28</v>
      </c>
      <c r="C21" s="3"/>
      <c r="D21" s="528">
        <v>-329172</v>
      </c>
      <c r="E21" s="315">
        <v>-322680</v>
      </c>
      <c r="F21" s="315">
        <f>+[6]Data!E21</f>
        <v>-242010</v>
      </c>
      <c r="G21" s="315">
        <f>+[6]Data!G21</f>
        <v>-242010</v>
      </c>
      <c r="I21" s="237">
        <f t="shared" si="2"/>
        <v>-80670</v>
      </c>
      <c r="J21" s="442">
        <f>+I21/F21</f>
        <v>0.33333333333333331</v>
      </c>
    </row>
    <row r="22" spans="1:10" ht="15.75" thickBot="1" x14ac:dyDescent="0.3">
      <c r="A22" s="1"/>
      <c r="B22" s="205" t="s">
        <v>29</v>
      </c>
      <c r="C22" s="3"/>
      <c r="D22" s="529">
        <v>526656</v>
      </c>
      <c r="E22" s="316">
        <v>516288</v>
      </c>
      <c r="F22" s="316">
        <f>+[6]Data!E22</f>
        <v>387216</v>
      </c>
      <c r="G22" s="316">
        <f>+[6]Data!G22</f>
        <v>387216</v>
      </c>
      <c r="I22" s="246">
        <f t="shared" si="2"/>
        <v>129072</v>
      </c>
      <c r="J22" s="444">
        <f>+I22/F22</f>
        <v>0.33333333333333331</v>
      </c>
    </row>
    <row r="23" spans="1:10" x14ac:dyDescent="0.25">
      <c r="A23" s="2"/>
      <c r="B23" s="203" t="s">
        <v>30</v>
      </c>
      <c r="C23" s="4"/>
      <c r="D23" s="313">
        <f>SUM(D20:D22)</f>
        <v>0</v>
      </c>
      <c r="E23" s="196">
        <f>SUM(E20:E22)</f>
        <v>0</v>
      </c>
      <c r="F23" s="24">
        <f>SUM(F20:F22)</f>
        <v>0</v>
      </c>
      <c r="G23" s="197">
        <f>SUM(I20:I22)</f>
        <v>0</v>
      </c>
      <c r="I23" s="237">
        <f t="shared" si="2"/>
        <v>0</v>
      </c>
      <c r="J23" s="442"/>
    </row>
    <row r="24" spans="1:10" x14ac:dyDescent="0.25">
      <c r="A24" s="1"/>
      <c r="B24" s="204"/>
      <c r="C24" s="3"/>
      <c r="D24" s="519"/>
      <c r="E24" s="198"/>
      <c r="F24" s="39"/>
      <c r="G24" s="199"/>
      <c r="I24" s="237">
        <f t="shared" si="2"/>
        <v>0</v>
      </c>
      <c r="J24" s="442"/>
    </row>
    <row r="25" spans="1:10" ht="15.75" thickBot="1" x14ac:dyDescent="0.3">
      <c r="A25" s="1"/>
      <c r="B25" s="206" t="s">
        <v>31</v>
      </c>
      <c r="C25" s="4"/>
      <c r="D25" s="215">
        <f>D6-D13-D18-D23</f>
        <v>7.8782317340373993</v>
      </c>
      <c r="E25" s="200">
        <f>E6-E13-E18-E23</f>
        <v>8054.4684073985554</v>
      </c>
      <c r="F25" s="201">
        <f>F6-F13-F18-F23</f>
        <v>-174099.22400000039</v>
      </c>
      <c r="G25" s="201">
        <f>G6-G13-G18-G23</f>
        <v>28985.611333556008</v>
      </c>
      <c r="I25" s="241">
        <f>E25-F25</f>
        <v>182153.69240739895</v>
      </c>
      <c r="J25" s="445">
        <f>+I25/F25</f>
        <v>-1.0462636663297162</v>
      </c>
    </row>
    <row r="26" spans="1:10" x14ac:dyDescent="0.25">
      <c r="A26" s="1"/>
      <c r="B26" s="2"/>
      <c r="C26" s="4"/>
      <c r="D26" s="4"/>
      <c r="E26" s="47"/>
      <c r="F26" s="47"/>
      <c r="G26" s="47"/>
      <c r="I26" s="231"/>
      <c r="J26" s="446"/>
    </row>
    <row r="27" spans="1:10" ht="15.75" thickBot="1" x14ac:dyDescent="0.3">
      <c r="A27" s="1"/>
      <c r="B27" s="48"/>
      <c r="C27" s="49"/>
      <c r="D27" s="49"/>
      <c r="E27" s="3"/>
      <c r="F27" s="3"/>
      <c r="G27" s="3"/>
      <c r="I27" s="3"/>
      <c r="J27" s="447"/>
    </row>
    <row r="28" spans="1:10" ht="15.75" thickBot="1" x14ac:dyDescent="0.3">
      <c r="A28" s="1"/>
      <c r="B28" s="208" t="s">
        <v>35</v>
      </c>
      <c r="C28" s="4"/>
      <c r="D28" s="4"/>
      <c r="E28" s="62"/>
      <c r="F28" s="62"/>
      <c r="G28" s="62"/>
      <c r="I28" s="62"/>
      <c r="J28" s="448"/>
    </row>
    <row r="29" spans="1:10" ht="15.75" thickBot="1" x14ac:dyDescent="0.3">
      <c r="A29" s="1"/>
      <c r="B29" s="48"/>
      <c r="C29" s="49"/>
      <c r="D29" s="49"/>
      <c r="E29" s="59"/>
      <c r="F29" s="59"/>
      <c r="G29" s="59"/>
      <c r="I29" s="59"/>
      <c r="J29" s="449"/>
    </row>
    <row r="30" spans="1:10" ht="15.75" thickBot="1" x14ac:dyDescent="0.3">
      <c r="A30" s="1"/>
      <c r="B30" s="209" t="s">
        <v>37</v>
      </c>
      <c r="C30" s="4"/>
      <c r="D30" s="191" t="str">
        <f>D3</f>
        <v>BUDGET 2024</v>
      </c>
      <c r="E30" s="191" t="str">
        <f>E3</f>
        <v>Actual 2023</v>
      </c>
      <c r="F30" s="192" t="str">
        <f>F3</f>
        <v>ACTUAL 2022</v>
      </c>
      <c r="G30" s="450" t="str">
        <f>+G3</f>
        <v>ACTUAL 2021</v>
      </c>
      <c r="I30" s="235" t="str">
        <f>+I$3</f>
        <v>B 2024 vs Act 2023</v>
      </c>
      <c r="J30" s="451" t="str">
        <f>+J$3</f>
        <v>%</v>
      </c>
    </row>
    <row r="31" spans="1:10" x14ac:dyDescent="0.25">
      <c r="A31" s="1"/>
      <c r="B31" s="204" t="s">
        <v>38</v>
      </c>
      <c r="C31" s="3"/>
      <c r="D31" s="530">
        <v>2623869</v>
      </c>
      <c r="E31" s="213">
        <v>2724978</v>
      </c>
      <c r="F31" s="311">
        <f>[6]Data!E31</f>
        <v>2471484</v>
      </c>
      <c r="G31" s="229">
        <f>[6]Data!G31</f>
        <v>2286117</v>
      </c>
      <c r="I31" s="360">
        <f>E31-F31</f>
        <v>253494</v>
      </c>
      <c r="J31" s="452">
        <f>+I31/F31</f>
        <v>0.1025675262312036</v>
      </c>
    </row>
    <row r="32" spans="1:10" x14ac:dyDescent="0.25">
      <c r="A32" s="1"/>
      <c r="B32" s="204" t="s">
        <v>39</v>
      </c>
      <c r="C32" s="3"/>
      <c r="D32" s="528">
        <v>74307.60000000002</v>
      </c>
      <c r="E32" s="213">
        <v>77171</v>
      </c>
      <c r="F32" s="311">
        <f>[6]Data!E32</f>
        <v>70140</v>
      </c>
      <c r="G32" s="229">
        <f>[6]Data!G32</f>
        <v>70140</v>
      </c>
      <c r="I32" s="360">
        <f t="shared" ref="I32:I41" si="3">E32-F32</f>
        <v>7031</v>
      </c>
      <c r="J32" s="452">
        <f>+I32/F32</f>
        <v>0.10024237239806102</v>
      </c>
    </row>
    <row r="33" spans="1:10" x14ac:dyDescent="0.25">
      <c r="A33" s="1"/>
      <c r="B33" s="204" t="s">
        <v>40</v>
      </c>
      <c r="C33" s="3"/>
      <c r="D33" s="528"/>
      <c r="E33" s="213">
        <f>[6]Data!D33</f>
        <v>0</v>
      </c>
      <c r="F33" s="311">
        <f>[6]Data!E33</f>
        <v>0</v>
      </c>
      <c r="G33" s="229">
        <f>[6]Data!G33</f>
        <v>0</v>
      </c>
      <c r="I33" s="360">
        <f t="shared" si="3"/>
        <v>0</v>
      </c>
      <c r="J33" s="452"/>
    </row>
    <row r="34" spans="1:10" x14ac:dyDescent="0.25">
      <c r="A34" s="1"/>
      <c r="B34" s="204" t="s">
        <v>41</v>
      </c>
      <c r="C34" s="3"/>
      <c r="D34" s="528">
        <v>364028.00999999995</v>
      </c>
      <c r="E34" s="213">
        <v>445719.14</v>
      </c>
      <c r="F34" s="311">
        <f>[6]Data!E34</f>
        <v>368600</v>
      </c>
      <c r="G34" s="229">
        <f>[6]Data!G34</f>
        <v>285641.89</v>
      </c>
      <c r="I34" s="360">
        <f t="shared" si="3"/>
        <v>77119.140000000014</v>
      </c>
      <c r="J34" s="452">
        <f>+I34/F34</f>
        <v>0.2092217580032556</v>
      </c>
    </row>
    <row r="35" spans="1:10" x14ac:dyDescent="0.25">
      <c r="A35" s="1"/>
      <c r="B35" s="204" t="s">
        <v>42</v>
      </c>
      <c r="C35" s="3"/>
      <c r="D35" s="528">
        <v>15186.05</v>
      </c>
      <c r="E35" s="213">
        <v>19288.41</v>
      </c>
      <c r="F35" s="311">
        <f>[6]Data!E35</f>
        <v>20497.260000000002</v>
      </c>
      <c r="G35" s="229">
        <f>[6]Data!G35</f>
        <v>18627.13</v>
      </c>
      <c r="I35" s="360">
        <f t="shared" si="3"/>
        <v>-1208.8500000000022</v>
      </c>
      <c r="J35" s="452">
        <f>+I35/F35</f>
        <v>-5.8976175352217906E-2</v>
      </c>
    </row>
    <row r="36" spans="1:10" x14ac:dyDescent="0.25">
      <c r="A36" s="1"/>
      <c r="B36" s="204" t="s">
        <v>43</v>
      </c>
      <c r="C36" s="3"/>
      <c r="D36" s="528">
        <v>48582.5</v>
      </c>
      <c r="E36" s="213">
        <v>64156.679999999993</v>
      </c>
      <c r="F36" s="311">
        <f>[6]Data!E36</f>
        <v>66349.929999999993</v>
      </c>
      <c r="G36" s="229">
        <f>[6]Data!G36</f>
        <v>51901.59</v>
      </c>
      <c r="I36" s="360">
        <f t="shared" si="3"/>
        <v>-2193.25</v>
      </c>
      <c r="J36" s="452">
        <f>+I36/F36</f>
        <v>-3.3055799757437575E-2</v>
      </c>
    </row>
    <row r="37" spans="1:10" x14ac:dyDescent="0.25">
      <c r="A37" s="1"/>
      <c r="B37" s="204" t="s">
        <v>44</v>
      </c>
      <c r="C37" s="3"/>
      <c r="D37" s="528">
        <v>14175</v>
      </c>
      <c r="E37" s="213">
        <v>18001.250000000004</v>
      </c>
      <c r="F37" s="311">
        <f>[6]Data!E37</f>
        <v>21635</v>
      </c>
      <c r="G37" s="229">
        <f>[6]Data!G37</f>
        <v>16546</v>
      </c>
      <c r="I37" s="360">
        <f t="shared" si="3"/>
        <v>-3633.7499999999964</v>
      </c>
      <c r="J37" s="452">
        <f>+I37/F37</f>
        <v>-0.16795701409752697</v>
      </c>
    </row>
    <row r="38" spans="1:10" x14ac:dyDescent="0.25">
      <c r="A38" s="1"/>
      <c r="B38" s="204" t="s">
        <v>45</v>
      </c>
      <c r="C38" s="3"/>
      <c r="D38" s="528">
        <v>420</v>
      </c>
      <c r="E38" s="213">
        <v>378.96000000000049</v>
      </c>
      <c r="F38" s="311">
        <f>[6]Data!E38</f>
        <v>1625.0400000000002</v>
      </c>
      <c r="G38" s="229">
        <f>[6]Data!G38</f>
        <v>1820.0400000000002</v>
      </c>
      <c r="I38" s="360">
        <f t="shared" si="3"/>
        <v>-1246.0799999999997</v>
      </c>
      <c r="J38" s="452">
        <f>+I38/F38</f>
        <v>-0.76679958647171731</v>
      </c>
    </row>
    <row r="39" spans="1:10" x14ac:dyDescent="0.25">
      <c r="A39" s="1"/>
      <c r="B39" s="204" t="s">
        <v>46</v>
      </c>
      <c r="C39" s="3"/>
      <c r="D39" s="528">
        <v>8796</v>
      </c>
      <c r="E39" s="213">
        <v>8502.9600000000009</v>
      </c>
      <c r="F39" s="311">
        <f>[6]Data!E39</f>
        <v>0</v>
      </c>
      <c r="G39" s="229">
        <f>[6]Data!G39</f>
        <v>0</v>
      </c>
      <c r="I39" s="360">
        <f t="shared" si="3"/>
        <v>8502.9600000000009</v>
      </c>
      <c r="J39" s="452"/>
    </row>
    <row r="40" spans="1:10" ht="15.75" thickBot="1" x14ac:dyDescent="0.3">
      <c r="A40" s="1"/>
      <c r="B40" s="205" t="s">
        <v>47</v>
      </c>
      <c r="C40" s="3"/>
      <c r="D40" s="529">
        <v>5160</v>
      </c>
      <c r="E40" s="329">
        <v>6223.91</v>
      </c>
      <c r="F40" s="312">
        <f>[6]Data!E40</f>
        <v>206</v>
      </c>
      <c r="G40" s="230">
        <f>[6]Data!G40</f>
        <v>121.71000000000001</v>
      </c>
      <c r="I40" s="361">
        <f t="shared" si="3"/>
        <v>6017.91</v>
      </c>
      <c r="J40" s="453">
        <f>+I40/F40</f>
        <v>29.213155339805823</v>
      </c>
    </row>
    <row r="41" spans="1:10" ht="15.75" thickBot="1" x14ac:dyDescent="0.3">
      <c r="A41" s="1"/>
      <c r="B41" s="210" t="s">
        <v>16</v>
      </c>
      <c r="C41" s="29"/>
      <c r="D41" s="223">
        <f>SUM(D31:D40)</f>
        <v>3154524.1599999997</v>
      </c>
      <c r="E41" s="223">
        <f>SUM(E31:E40)</f>
        <v>3364420.3100000005</v>
      </c>
      <c r="F41" s="330">
        <f>SUM(F31:F40)</f>
        <v>3020537.23</v>
      </c>
      <c r="G41" s="330">
        <f>SUM(G31:G40)</f>
        <v>2730915.36</v>
      </c>
      <c r="I41" s="362">
        <f t="shared" si="3"/>
        <v>343883.08000000054</v>
      </c>
      <c r="J41" s="454">
        <f>+I41/F41</f>
        <v>0.11384831697638123</v>
      </c>
    </row>
    <row r="42" spans="1:10" ht="15.75" thickBot="1" x14ac:dyDescent="0.3">
      <c r="A42" s="1"/>
      <c r="B42" s="48"/>
      <c r="C42" s="49"/>
      <c r="D42" s="49"/>
      <c r="E42" s="76"/>
      <c r="F42" s="232">
        <f>E41/F41-1</f>
        <v>0.11384831697638131</v>
      </c>
      <c r="G42" s="232">
        <f>F41/I41-1</f>
        <v>7.7836168909502472</v>
      </c>
      <c r="I42" s="76"/>
      <c r="J42" s="455"/>
    </row>
    <row r="43" spans="1:10" ht="15.75" thickBot="1" x14ac:dyDescent="0.3">
      <c r="A43" s="1"/>
      <c r="B43" s="208" t="s">
        <v>48</v>
      </c>
      <c r="C43" s="4"/>
      <c r="D43" s="4"/>
      <c r="E43" s="9"/>
      <c r="F43" s="9"/>
      <c r="G43" s="9"/>
      <c r="I43" s="9"/>
      <c r="J43" s="456"/>
    </row>
    <row r="44" spans="1:10" x14ac:dyDescent="0.25">
      <c r="A44" s="1"/>
      <c r="B44" s="211" t="s">
        <v>49</v>
      </c>
      <c r="C44" s="3"/>
      <c r="D44" s="530">
        <v>184115.71799999994</v>
      </c>
      <c r="E44" s="212">
        <v>247197.25</v>
      </c>
      <c r="F44" s="317">
        <f>+[6]Data!E44</f>
        <v>217644.37</v>
      </c>
      <c r="G44" s="318">
        <f>+[6]Data!G44</f>
        <v>204052.63999999998</v>
      </c>
      <c r="I44" s="236">
        <f t="shared" ref="I44:I51" si="4">E44-F44</f>
        <v>29552.880000000005</v>
      </c>
      <c r="J44" s="457">
        <f>+I44/F44</f>
        <v>0.13578518020015867</v>
      </c>
    </row>
    <row r="45" spans="1:10" x14ac:dyDescent="0.25">
      <c r="A45" s="1"/>
      <c r="B45" s="204" t="s">
        <v>50</v>
      </c>
      <c r="C45" s="3"/>
      <c r="D45" s="528">
        <v>20252.728979999996</v>
      </c>
      <c r="E45" s="213">
        <v>24442.959999999999</v>
      </c>
      <c r="F45" s="311">
        <f>+[6]Data!E45</f>
        <v>25592.959999999999</v>
      </c>
      <c r="G45" s="229">
        <f>+[6]Data!G45</f>
        <v>18739.62</v>
      </c>
      <c r="I45" s="237">
        <f t="shared" si="4"/>
        <v>-1150</v>
      </c>
      <c r="J45" s="442">
        <f>+I45/F45</f>
        <v>-4.4934231913776289E-2</v>
      </c>
    </row>
    <row r="46" spans="1:10" x14ac:dyDescent="0.25">
      <c r="A46" s="1"/>
      <c r="B46" s="204" t="s">
        <v>51</v>
      </c>
      <c r="C46" s="3"/>
      <c r="D46" s="528">
        <v>20581.043999999998</v>
      </c>
      <c r="E46" s="213">
        <v>21746.21</v>
      </c>
      <c r="F46" s="311">
        <f>+[6]Data!E46</f>
        <v>20319.72</v>
      </c>
      <c r="G46" s="229">
        <f>+[6]Data!G46</f>
        <v>15613.380000000001</v>
      </c>
      <c r="I46" s="237">
        <f t="shared" si="4"/>
        <v>1426.489999999998</v>
      </c>
      <c r="J46" s="442">
        <f>+I46/F46</f>
        <v>7.0202246881354555E-2</v>
      </c>
    </row>
    <row r="47" spans="1:10" x14ac:dyDescent="0.25">
      <c r="A47" s="1"/>
      <c r="B47" s="204" t="s">
        <v>52</v>
      </c>
      <c r="C47" s="3"/>
      <c r="D47" s="222"/>
      <c r="E47" s="213">
        <f>+[6]Data!D47</f>
        <v>0</v>
      </c>
      <c r="F47" s="311">
        <f>+[6]Data!E47</f>
        <v>0</v>
      </c>
      <c r="G47" s="229">
        <f>+[6]Data!G47</f>
        <v>0</v>
      </c>
      <c r="I47" s="237">
        <f t="shared" si="4"/>
        <v>0</v>
      </c>
      <c r="J47" s="442"/>
    </row>
    <row r="48" spans="1:10" x14ac:dyDescent="0.25">
      <c r="A48" s="1"/>
      <c r="B48" s="204" t="s">
        <v>53</v>
      </c>
      <c r="C48" s="3"/>
      <c r="D48" s="222"/>
      <c r="E48" s="213">
        <f>+[6]Data!D48</f>
        <v>0</v>
      </c>
      <c r="F48" s="311">
        <f>+[6]Data!E48</f>
        <v>0</v>
      </c>
      <c r="G48" s="229">
        <f>+[6]Data!G48</f>
        <v>0</v>
      </c>
      <c r="I48" s="237">
        <f t="shared" si="4"/>
        <v>0</v>
      </c>
      <c r="J48" s="442"/>
    </row>
    <row r="49" spans="1:10" x14ac:dyDescent="0.25">
      <c r="A49" s="1"/>
      <c r="B49" s="204" t="s">
        <v>54</v>
      </c>
      <c r="C49" s="3"/>
      <c r="D49" s="528">
        <v>21290.692806000003</v>
      </c>
      <c r="E49" s="213">
        <v>30470.61</v>
      </c>
      <c r="F49" s="311">
        <f>+[6]Data!E49</f>
        <v>23029.069999999996</v>
      </c>
      <c r="G49" s="229">
        <f>+[6]Data!G49</f>
        <v>23214</v>
      </c>
      <c r="I49" s="237">
        <f t="shared" si="4"/>
        <v>7441.5400000000045</v>
      </c>
      <c r="J49" s="442">
        <f>+I49/F49</f>
        <v>0.323136800574231</v>
      </c>
    </row>
    <row r="50" spans="1:10" x14ac:dyDescent="0.25">
      <c r="A50" s="1"/>
      <c r="B50" s="205"/>
      <c r="C50" s="3"/>
      <c r="D50" s="521"/>
      <c r="E50" s="214"/>
      <c r="F50" s="314"/>
      <c r="G50" s="230"/>
      <c r="I50" s="246">
        <f t="shared" si="4"/>
        <v>0</v>
      </c>
      <c r="J50" s="444"/>
    </row>
    <row r="51" spans="1:10" ht="15.75" thickBot="1" x14ac:dyDescent="0.3">
      <c r="A51" s="1"/>
      <c r="B51" s="210" t="s">
        <v>55</v>
      </c>
      <c r="C51" s="4"/>
      <c r="D51" s="223">
        <f>SUM(D44:D49)</f>
        <v>246240.18378599992</v>
      </c>
      <c r="E51" s="223">
        <f>SUM(E44:E49)</f>
        <v>323857.03000000003</v>
      </c>
      <c r="F51" s="319">
        <f>SUM(F44:F49)</f>
        <v>286586.12</v>
      </c>
      <c r="G51" s="319">
        <f>SUM(G44:G49)</f>
        <v>261619.63999999998</v>
      </c>
      <c r="I51" s="241">
        <f t="shared" si="4"/>
        <v>37270.910000000033</v>
      </c>
      <c r="J51" s="445">
        <f>+I51/F51</f>
        <v>0.13005134372871943</v>
      </c>
    </row>
    <row r="52" spans="1:10" ht="15.75" thickBot="1" x14ac:dyDescent="0.3">
      <c r="A52" s="1"/>
      <c r="B52" s="48"/>
      <c r="C52" s="49"/>
      <c r="D52" s="49"/>
      <c r="E52" s="76"/>
      <c r="F52" s="232">
        <f>+F51/E51-1</f>
        <v>-0.11508445563154834</v>
      </c>
      <c r="G52" s="344">
        <f>+I51/F51-1</f>
        <v>-0.8699486562712806</v>
      </c>
      <c r="I52" s="76"/>
      <c r="J52" s="455"/>
    </row>
    <row r="53" spans="1:10" ht="15.75" thickBot="1" x14ac:dyDescent="0.3">
      <c r="A53" s="1"/>
      <c r="B53" s="208" t="s">
        <v>56</v>
      </c>
      <c r="C53" s="4"/>
      <c r="D53" s="4"/>
      <c r="E53" s="9"/>
      <c r="F53" s="9"/>
      <c r="G53" s="9"/>
      <c r="I53" s="9"/>
      <c r="J53" s="456"/>
    </row>
    <row r="54" spans="1:10" x14ac:dyDescent="0.25">
      <c r="A54" s="1"/>
      <c r="B54" s="211" t="s">
        <v>57</v>
      </c>
      <c r="C54" s="3"/>
      <c r="D54" s="530">
        <v>3000</v>
      </c>
      <c r="E54" s="212">
        <v>2180</v>
      </c>
      <c r="F54" s="317">
        <f>+[6]Data!E54</f>
        <v>1964</v>
      </c>
      <c r="G54" s="317">
        <f>+[6]Data!G54</f>
        <v>2040</v>
      </c>
      <c r="I54" s="236">
        <f t="shared" ref="I54:I65" si="5">E54-F54</f>
        <v>216</v>
      </c>
      <c r="J54" s="457">
        <f>+I54/F54</f>
        <v>0.10997963340122199</v>
      </c>
    </row>
    <row r="55" spans="1:10" x14ac:dyDescent="0.25">
      <c r="A55" s="1"/>
      <c r="B55" s="204" t="s">
        <v>58</v>
      </c>
      <c r="C55" s="3"/>
      <c r="D55" s="528">
        <v>26471.450000000004</v>
      </c>
      <c r="E55" s="213">
        <v>24668.339999999997</v>
      </c>
      <c r="F55" s="311">
        <f>+[6]Data!E55</f>
        <v>24191.35</v>
      </c>
      <c r="G55" s="311">
        <f>+[6]Data!G55</f>
        <v>20318.349999999999</v>
      </c>
      <c r="I55" s="237">
        <f t="shared" si="5"/>
        <v>476.98999999999796</v>
      </c>
      <c r="J55" s="442">
        <f>+I55/F55</f>
        <v>1.9717378319109847E-2</v>
      </c>
    </row>
    <row r="56" spans="1:10" x14ac:dyDescent="0.25">
      <c r="A56" s="1"/>
      <c r="B56" s="204" t="s">
        <v>59</v>
      </c>
      <c r="C56" s="3"/>
      <c r="D56" s="528">
        <v>65612.099999999991</v>
      </c>
      <c r="E56" s="213">
        <v>53441.760000000002</v>
      </c>
      <c r="F56" s="311">
        <f>+[6]Data!E56</f>
        <v>54466.030000000006</v>
      </c>
      <c r="G56" s="311">
        <f>+[6]Data!G56</f>
        <v>25953.48</v>
      </c>
      <c r="I56" s="237">
        <f t="shared" si="5"/>
        <v>-1024.2700000000041</v>
      </c>
      <c r="J56" s="442">
        <f>+I56/F56</f>
        <v>-1.8805666577865213E-2</v>
      </c>
    </row>
    <row r="57" spans="1:10" x14ac:dyDescent="0.25">
      <c r="A57" s="1"/>
      <c r="B57" s="204" t="s">
        <v>60</v>
      </c>
      <c r="C57" s="3"/>
      <c r="D57" s="528"/>
      <c r="E57" s="213">
        <f>+[6]Data!D57</f>
        <v>0</v>
      </c>
      <c r="F57" s="311">
        <f>+[6]Data!E57</f>
        <v>0</v>
      </c>
      <c r="G57" s="311">
        <f>+[6]Data!G57</f>
        <v>0</v>
      </c>
      <c r="I57" s="237">
        <f t="shared" si="5"/>
        <v>0</v>
      </c>
      <c r="J57" s="442"/>
    </row>
    <row r="58" spans="1:10" x14ac:dyDescent="0.25">
      <c r="A58" s="1"/>
      <c r="B58" s="204" t="s">
        <v>61</v>
      </c>
      <c r="C58" s="3"/>
      <c r="D58" s="528">
        <v>552</v>
      </c>
      <c r="E58" s="320">
        <f>+[6]Data!D58</f>
        <v>720</v>
      </c>
      <c r="F58" s="321">
        <f>+[6]Data!E58</f>
        <v>688.66000000000008</v>
      </c>
      <c r="G58" s="311">
        <f>+[6]Data!G58</f>
        <v>0</v>
      </c>
      <c r="I58" s="237">
        <f t="shared" si="5"/>
        <v>31.339999999999918</v>
      </c>
      <c r="J58" s="442">
        <f>+I58/F58</f>
        <v>4.5508669009380415E-2</v>
      </c>
    </row>
    <row r="59" spans="1:10" x14ac:dyDescent="0.25">
      <c r="A59" s="1"/>
      <c r="B59" s="204" t="s">
        <v>62</v>
      </c>
      <c r="C59" s="3"/>
      <c r="D59" s="528">
        <v>12036</v>
      </c>
      <c r="E59" s="320">
        <f>+[6]Data!D59</f>
        <v>32800</v>
      </c>
      <c r="F59" s="321">
        <f>+[6]Data!E59</f>
        <v>30254</v>
      </c>
      <c r="G59" s="311">
        <f>+[6]Data!G59</f>
        <v>18673.34</v>
      </c>
      <c r="I59" s="237">
        <f t="shared" si="5"/>
        <v>2546</v>
      </c>
      <c r="J59" s="442">
        <f>+I59/F59</f>
        <v>8.4154161433198912E-2</v>
      </c>
    </row>
    <row r="60" spans="1:10" x14ac:dyDescent="0.25">
      <c r="A60" s="1"/>
      <c r="B60" s="204" t="s">
        <v>63</v>
      </c>
      <c r="C60" s="3"/>
      <c r="D60" s="528">
        <v>46720.799999999996</v>
      </c>
      <c r="E60" s="320">
        <f>+[6]Data!D60</f>
        <v>51912</v>
      </c>
      <c r="F60" s="321">
        <f>+[6]Data!E60</f>
        <v>49632.54</v>
      </c>
      <c r="G60" s="311">
        <f>+[6]Data!G60</f>
        <v>49466.19</v>
      </c>
      <c r="I60" s="237">
        <f t="shared" si="5"/>
        <v>2279.4599999999991</v>
      </c>
      <c r="J60" s="442">
        <f>+I60/F60</f>
        <v>4.592672468505539E-2</v>
      </c>
    </row>
    <row r="61" spans="1:10" x14ac:dyDescent="0.25">
      <c r="A61" s="1"/>
      <c r="B61" s="204" t="s">
        <v>25</v>
      </c>
      <c r="C61" s="3"/>
      <c r="D61" s="528">
        <v>755220.7200000002</v>
      </c>
      <c r="E61" s="320">
        <f>+[6]Data!D61</f>
        <v>733219.83</v>
      </c>
      <c r="F61" s="321">
        <f>+[6]Data!E61</f>
        <v>698304</v>
      </c>
      <c r="G61" s="311">
        <f>+[6]Data!G61</f>
        <v>665051.4</v>
      </c>
      <c r="I61" s="237">
        <f t="shared" si="5"/>
        <v>34915.829999999958</v>
      </c>
      <c r="J61" s="442">
        <f>+I61/F61</f>
        <v>5.0000902185867412E-2</v>
      </c>
    </row>
    <row r="62" spans="1:10" x14ac:dyDescent="0.25">
      <c r="A62" s="1"/>
      <c r="B62" s="204" t="s">
        <v>64</v>
      </c>
      <c r="C62" s="3"/>
      <c r="D62" s="528">
        <v>13380</v>
      </c>
      <c r="E62" s="320">
        <f>+[6]Data!D62</f>
        <v>24000</v>
      </c>
      <c r="F62" s="321">
        <f>+[6]Data!E62</f>
        <v>24006.65</v>
      </c>
      <c r="G62" s="311">
        <f>+[6]Data!G62</f>
        <v>18539.919999999998</v>
      </c>
      <c r="I62" s="237">
        <f t="shared" si="5"/>
        <v>-6.6500000000014552</v>
      </c>
      <c r="J62" s="442"/>
    </row>
    <row r="63" spans="1:10" x14ac:dyDescent="0.25">
      <c r="A63" s="1"/>
      <c r="B63" s="204" t="s">
        <v>65</v>
      </c>
      <c r="C63" s="3"/>
      <c r="D63" s="528">
        <v>0</v>
      </c>
      <c r="E63" s="320">
        <f>+[6]Data!D63</f>
        <v>0</v>
      </c>
      <c r="F63" s="321">
        <f>+[6]Data!E63</f>
        <v>0</v>
      </c>
      <c r="G63" s="311">
        <f>+[6]Data!G63</f>
        <v>0</v>
      </c>
      <c r="I63" s="237">
        <f t="shared" si="5"/>
        <v>0</v>
      </c>
      <c r="J63" s="442"/>
    </row>
    <row r="64" spans="1:10" ht="15.75" thickBot="1" x14ac:dyDescent="0.3">
      <c r="A64" s="1"/>
      <c r="B64" s="205" t="s">
        <v>66</v>
      </c>
      <c r="C64" s="3"/>
      <c r="D64" s="529">
        <v>5604</v>
      </c>
      <c r="E64" s="214">
        <f>+[6]Data!D64</f>
        <v>5600.04</v>
      </c>
      <c r="F64" s="314">
        <f>+[6]Data!E64</f>
        <v>5600.04</v>
      </c>
      <c r="G64" s="314">
        <f>+[6]Data!G64</f>
        <v>-250</v>
      </c>
      <c r="I64" s="246">
        <f t="shared" si="5"/>
        <v>0</v>
      </c>
      <c r="J64" s="444">
        <f>+I64/F64</f>
        <v>0</v>
      </c>
    </row>
    <row r="65" spans="1:10" ht="15.75" thickBot="1" x14ac:dyDescent="0.3">
      <c r="A65" s="1"/>
      <c r="B65" s="210" t="s">
        <v>67</v>
      </c>
      <c r="C65" s="4"/>
      <c r="D65" s="223">
        <f>SUM(D54:D64)</f>
        <v>928597.07000000018</v>
      </c>
      <c r="E65" s="223">
        <f>SUM(E54:E64)</f>
        <v>928541.97</v>
      </c>
      <c r="F65" s="319">
        <f>SUM(F54:F64)</f>
        <v>889107.27000000014</v>
      </c>
      <c r="G65" s="319">
        <f>SUM(G54:G64)</f>
        <v>799792.68</v>
      </c>
      <c r="I65" s="242">
        <f t="shared" si="5"/>
        <v>39434.699999999837</v>
      </c>
      <c r="J65" s="445">
        <f>+I65/F65</f>
        <v>4.435314087579087E-2</v>
      </c>
    </row>
    <row r="66" spans="1:10" ht="15.75" thickBot="1" x14ac:dyDescent="0.3">
      <c r="A66" s="1"/>
      <c r="B66" s="48"/>
      <c r="C66" s="49"/>
      <c r="D66" s="49"/>
      <c r="E66" s="57"/>
      <c r="F66" s="232">
        <f>+F65/E65-1</f>
        <v>-4.2469485789640493E-2</v>
      </c>
      <c r="G66" s="344">
        <f>+I65/F65-1</f>
        <v>-0.9556468591242091</v>
      </c>
      <c r="I66" s="57"/>
      <c r="J66" s="455"/>
    </row>
    <row r="67" spans="1:10" ht="15.75" thickBot="1" x14ac:dyDescent="0.3">
      <c r="A67" s="1"/>
      <c r="B67" s="208" t="s">
        <v>68</v>
      </c>
      <c r="C67" s="4"/>
      <c r="D67" s="4"/>
      <c r="E67" s="120"/>
      <c r="F67" s="120"/>
      <c r="G67" s="120"/>
      <c r="I67" s="120"/>
      <c r="J67" s="456"/>
    </row>
    <row r="68" spans="1:10" ht="15.75" thickBot="1" x14ac:dyDescent="0.3">
      <c r="A68" s="1"/>
      <c r="B68" s="220" t="s">
        <v>69</v>
      </c>
      <c r="C68" s="29"/>
      <c r="D68" s="217">
        <f>D41-D51-D65</f>
        <v>1979686.9062139993</v>
      </c>
      <c r="E68" s="217">
        <f>E41-E51-E65</f>
        <v>2112021.3100000005</v>
      </c>
      <c r="F68" s="218">
        <f>F41-F51-F65</f>
        <v>1844843.8399999999</v>
      </c>
      <c r="G68" s="219">
        <f>I41-I51-I65</f>
        <v>267177.47000000067</v>
      </c>
      <c r="I68" s="243">
        <f>E68-F68</f>
        <v>267177.47000000067</v>
      </c>
      <c r="J68" s="458">
        <f>+I68/F68</f>
        <v>0.14482389468801907</v>
      </c>
    </row>
    <row r="69" spans="1:10" x14ac:dyDescent="0.25">
      <c r="A69" s="1"/>
      <c r="B69" s="2"/>
      <c r="C69" s="4"/>
      <c r="D69" s="4"/>
      <c r="E69" s="100"/>
      <c r="F69" s="233">
        <f>F68/E68-1</f>
        <v>-0.12650320748894361</v>
      </c>
      <c r="G69" s="233">
        <f>I68/F68-1</f>
        <v>-0.85517610531198096</v>
      </c>
      <c r="I69" s="100"/>
      <c r="J69" s="459"/>
    </row>
    <row r="70" spans="1:10" ht="15.75" thickBot="1" x14ac:dyDescent="0.3">
      <c r="A70" s="1"/>
      <c r="B70" s="48"/>
      <c r="C70" s="49"/>
      <c r="D70" s="49"/>
      <c r="E70" s="76"/>
      <c r="F70" s="76"/>
      <c r="G70" s="76"/>
      <c r="I70" s="76"/>
      <c r="J70" s="455"/>
    </row>
    <row r="71" spans="1:10" ht="15.75" thickBot="1" x14ac:dyDescent="0.3">
      <c r="A71" s="1"/>
      <c r="B71" s="208" t="s">
        <v>70</v>
      </c>
      <c r="C71" s="4"/>
      <c r="D71" s="4"/>
      <c r="E71" s="101"/>
      <c r="F71" s="101"/>
      <c r="G71" s="101"/>
      <c r="I71" s="101"/>
      <c r="J71" s="460"/>
    </row>
    <row r="72" spans="1:10" ht="15.75" thickBot="1" x14ac:dyDescent="0.3">
      <c r="A72" s="1"/>
      <c r="B72" s="48"/>
      <c r="C72" s="49"/>
      <c r="D72" s="49"/>
      <c r="E72" s="103"/>
      <c r="F72" s="103"/>
      <c r="G72" s="103"/>
      <c r="I72" s="103"/>
      <c r="J72" s="449"/>
    </row>
    <row r="73" spans="1:10" ht="15.75" thickBot="1" x14ac:dyDescent="0.3">
      <c r="A73" s="1"/>
      <c r="B73" s="208" t="s">
        <v>48</v>
      </c>
      <c r="C73" s="4"/>
      <c r="D73" s="224" t="str">
        <f>D3</f>
        <v>BUDGET 2024</v>
      </c>
      <c r="E73" s="224" t="str">
        <f>E3</f>
        <v>Actual 2023</v>
      </c>
      <c r="F73" s="461" t="str">
        <f>F3</f>
        <v>ACTUAL 2022</v>
      </c>
      <c r="G73" s="462" t="str">
        <f>+G30</f>
        <v>ACTUAL 2021</v>
      </c>
      <c r="I73" s="235" t="str">
        <f>+I$3</f>
        <v>B 2024 vs Act 2023</v>
      </c>
      <c r="J73" s="451" t="str">
        <f>+J$3</f>
        <v>%</v>
      </c>
    </row>
    <row r="74" spans="1:10" x14ac:dyDescent="0.25">
      <c r="A74" s="1"/>
      <c r="B74" s="204" t="s">
        <v>18</v>
      </c>
      <c r="C74" s="3"/>
      <c r="D74" s="530">
        <v>218516.90951333332</v>
      </c>
      <c r="E74" s="213">
        <v>228762.14</v>
      </c>
      <c r="F74" s="31">
        <f>+[6]Data!E74</f>
        <v>221820.35000000003</v>
      </c>
      <c r="G74" s="194">
        <f>+[6]Data!G74</f>
        <v>182144.05000000002</v>
      </c>
      <c r="I74" s="237">
        <f t="shared" ref="I74:I83" si="6">E74-F74</f>
        <v>6941.789999999979</v>
      </c>
      <c r="J74" s="442">
        <f t="shared" ref="J74:J81" si="7">+I74/F74</f>
        <v>3.1294649025664138E-2</v>
      </c>
    </row>
    <row r="75" spans="1:10" x14ac:dyDescent="0.25">
      <c r="A75" s="1"/>
      <c r="B75" s="204" t="s">
        <v>71</v>
      </c>
      <c r="C75" s="3"/>
      <c r="D75" s="528">
        <v>211123.89036374996</v>
      </c>
      <c r="E75" s="213">
        <v>195186.75999999998</v>
      </c>
      <c r="F75" s="31">
        <f>+[6]Data!E75</f>
        <v>196184.29000000004</v>
      </c>
      <c r="G75" s="194">
        <f>+[6]Data!G75</f>
        <v>148912.44999999998</v>
      </c>
      <c r="I75" s="237">
        <f t="shared" si="6"/>
        <v>-997.53000000005704</v>
      </c>
      <c r="J75" s="442">
        <f t="shared" si="7"/>
        <v>-5.0846578999779075E-3</v>
      </c>
    </row>
    <row r="76" spans="1:10" x14ac:dyDescent="0.25">
      <c r="A76" s="1"/>
      <c r="B76" s="204" t="s">
        <v>72</v>
      </c>
      <c r="C76" s="3"/>
      <c r="D76" s="528">
        <v>10521</v>
      </c>
      <c r="E76" s="213">
        <v>10020</v>
      </c>
      <c r="F76" s="31">
        <f>+[6]Data!E76</f>
        <v>10008</v>
      </c>
      <c r="G76" s="194">
        <f>+[6]Data!G76</f>
        <v>10008</v>
      </c>
      <c r="I76" s="237">
        <f t="shared" si="6"/>
        <v>12</v>
      </c>
      <c r="J76" s="442">
        <f t="shared" si="7"/>
        <v>1.199040767386091E-3</v>
      </c>
    </row>
    <row r="77" spans="1:10" x14ac:dyDescent="0.25">
      <c r="A77" s="1"/>
      <c r="B77" s="204" t="s">
        <v>50</v>
      </c>
      <c r="C77" s="3"/>
      <c r="D77" s="528">
        <v>41815.370988322902</v>
      </c>
      <c r="E77" s="213">
        <v>41092.570000000007</v>
      </c>
      <c r="F77" s="31">
        <f>+[6]Data!E77</f>
        <v>30750.809999999994</v>
      </c>
      <c r="G77" s="194">
        <f>+[6]Data!G77</f>
        <v>33366.69</v>
      </c>
      <c r="I77" s="237">
        <f t="shared" si="6"/>
        <v>10341.760000000013</v>
      </c>
      <c r="J77" s="442">
        <f t="shared" si="7"/>
        <v>0.33630853951489459</v>
      </c>
    </row>
    <row r="78" spans="1:10" x14ac:dyDescent="0.25">
      <c r="A78" s="1"/>
      <c r="B78" s="204" t="s">
        <v>73</v>
      </c>
      <c r="C78" s="3"/>
      <c r="D78" s="528">
        <v>29490.84059176459</v>
      </c>
      <c r="E78" s="213">
        <v>28576.18</v>
      </c>
      <c r="F78" s="31">
        <f>+[6]Data!E78</f>
        <v>26958.85</v>
      </c>
      <c r="G78" s="194">
        <f>+[6]Data!G78</f>
        <v>23457.16</v>
      </c>
      <c r="I78" s="237">
        <f t="shared" si="6"/>
        <v>1617.3300000000017</v>
      </c>
      <c r="J78" s="442">
        <f t="shared" si="7"/>
        <v>5.999254419235249E-2</v>
      </c>
    </row>
    <row r="79" spans="1:10" x14ac:dyDescent="0.25">
      <c r="A79" s="1"/>
      <c r="B79" s="204" t="s">
        <v>52</v>
      </c>
      <c r="C79" s="3"/>
      <c r="D79" s="528">
        <v>11030.73</v>
      </c>
      <c r="E79" s="213">
        <v>10783.21</v>
      </c>
      <c r="F79" s="31">
        <f>+[6]Data!E79</f>
        <v>6468</v>
      </c>
      <c r="G79" s="194">
        <f>+[6]Data!G79</f>
        <v>8392.91</v>
      </c>
      <c r="I79" s="237">
        <f t="shared" si="6"/>
        <v>4315.2099999999991</v>
      </c>
      <c r="J79" s="442">
        <f t="shared" si="7"/>
        <v>0.66716295609152743</v>
      </c>
    </row>
    <row r="80" spans="1:10" x14ac:dyDescent="0.25">
      <c r="A80" s="1"/>
      <c r="B80" s="204" t="s">
        <v>53</v>
      </c>
      <c r="C80" s="3"/>
      <c r="D80" s="528">
        <v>55636.80000000001</v>
      </c>
      <c r="E80" s="213">
        <v>46156.930000000008</v>
      </c>
      <c r="F80" s="31">
        <f>+[6]Data!E80</f>
        <v>50420.05</v>
      </c>
      <c r="G80" s="194">
        <f>+[6]Data!G80</f>
        <v>53206.06</v>
      </c>
      <c r="I80" s="237">
        <f t="shared" si="6"/>
        <v>-4263.1199999999953</v>
      </c>
      <c r="J80" s="442">
        <f t="shared" si="7"/>
        <v>-8.455207799278254E-2</v>
      </c>
    </row>
    <row r="81" spans="1:10" x14ac:dyDescent="0.25">
      <c r="A81" s="1"/>
      <c r="B81" s="204" t="s">
        <v>54</v>
      </c>
      <c r="C81" s="3"/>
      <c r="D81" s="528">
        <v>50882.160839933764</v>
      </c>
      <c r="E81" s="213">
        <v>38031.96</v>
      </c>
      <c r="F81" s="31">
        <f>+[6]Data!E81</f>
        <v>31416.480000000003</v>
      </c>
      <c r="G81" s="194">
        <f>+[6]Data!G81</f>
        <v>33579.17</v>
      </c>
      <c r="I81" s="237">
        <f t="shared" si="6"/>
        <v>6615.4799999999959</v>
      </c>
      <c r="J81" s="442">
        <f t="shared" si="7"/>
        <v>0.21057355884554843</v>
      </c>
    </row>
    <row r="82" spans="1:10" ht="15.75" thickBot="1" x14ac:dyDescent="0.3">
      <c r="A82" s="1"/>
      <c r="B82" s="205"/>
      <c r="C82" s="3"/>
      <c r="D82" s="518"/>
      <c r="E82" s="214"/>
      <c r="F82" s="34"/>
      <c r="G82" s="195"/>
      <c r="I82" s="246">
        <f t="shared" si="6"/>
        <v>0</v>
      </c>
      <c r="J82" s="444"/>
    </row>
    <row r="83" spans="1:10" ht="15.75" thickBot="1" x14ac:dyDescent="0.3">
      <c r="A83" s="1"/>
      <c r="B83" s="210" t="s">
        <v>55</v>
      </c>
      <c r="C83" s="4"/>
      <c r="D83" s="215">
        <f>SUM(D74:D82)</f>
        <v>629017.70229710452</v>
      </c>
      <c r="E83" s="215">
        <f>SUM(E74:E82)</f>
        <v>598609.75</v>
      </c>
      <c r="F83" s="216">
        <f>SUM(F74:F82)</f>
        <v>574026.83000000007</v>
      </c>
      <c r="G83" s="216">
        <f>SUM(G74:G82)</f>
        <v>493066.48999999993</v>
      </c>
      <c r="I83" s="241">
        <f t="shared" si="6"/>
        <v>24582.919999999925</v>
      </c>
      <c r="J83" s="445">
        <f>+I83/F83</f>
        <v>4.2825385008571679E-2</v>
      </c>
    </row>
    <row r="84" spans="1:10" ht="15.75" thickBot="1" x14ac:dyDescent="0.3">
      <c r="A84" s="1"/>
      <c r="B84" s="48"/>
      <c r="C84" s="49"/>
      <c r="D84" s="49"/>
      <c r="E84" s="76"/>
      <c r="F84" s="232">
        <f>+F83/E83-1</f>
        <v>-4.1066688272284102E-2</v>
      </c>
      <c r="G84" s="344">
        <f>+I83/F83-1</f>
        <v>-0.95717461499142831</v>
      </c>
      <c r="I84" s="76"/>
      <c r="J84" s="455"/>
    </row>
    <row r="85" spans="1:10" ht="15.75" thickBot="1" x14ac:dyDescent="0.3">
      <c r="A85" s="1"/>
      <c r="B85" s="208" t="s">
        <v>56</v>
      </c>
      <c r="C85" s="4"/>
      <c r="D85" s="4"/>
      <c r="E85" s="9"/>
      <c r="F85" s="9"/>
      <c r="G85" s="9"/>
      <c r="I85" s="9"/>
      <c r="J85" s="456"/>
    </row>
    <row r="86" spans="1:10" x14ac:dyDescent="0.25">
      <c r="A86" s="1"/>
      <c r="B86" s="211" t="s">
        <v>74</v>
      </c>
      <c r="C86" s="3"/>
      <c r="D86" s="530">
        <v>13200</v>
      </c>
      <c r="E86" s="212">
        <v>11989.79</v>
      </c>
      <c r="F86" s="317">
        <f>+[6]Data!E86</f>
        <v>7608.76</v>
      </c>
      <c r="G86" s="318">
        <f>+[6]Data!G86</f>
        <v>9012.02</v>
      </c>
      <c r="I86" s="236">
        <f t="shared" ref="I86:I103" si="8">E86-F86</f>
        <v>4381.0300000000007</v>
      </c>
      <c r="J86" s="457">
        <f>+I86/F86</f>
        <v>0.57578764476734723</v>
      </c>
    </row>
    <row r="87" spans="1:10" x14ac:dyDescent="0.25">
      <c r="A87" s="1"/>
      <c r="B87" s="204" t="s">
        <v>75</v>
      </c>
      <c r="C87" s="3"/>
      <c r="D87" s="528">
        <v>18956.84</v>
      </c>
      <c r="E87" s="213">
        <v>11956.55</v>
      </c>
      <c r="F87" s="311">
        <f>+[6]Data!E87</f>
        <v>4987.5</v>
      </c>
      <c r="G87" s="229">
        <f>+[6]Data!G87</f>
        <v>6482.7699999999995</v>
      </c>
      <c r="I87" s="237">
        <f t="shared" si="8"/>
        <v>6969.0499999999993</v>
      </c>
      <c r="J87" s="442">
        <f>+I87/F87</f>
        <v>1.3973032581453633</v>
      </c>
    </row>
    <row r="88" spans="1:10" x14ac:dyDescent="0.25">
      <c r="A88" s="1"/>
      <c r="B88" s="204" t="s">
        <v>76</v>
      </c>
      <c r="C88" s="3"/>
      <c r="D88" s="528">
        <v>163812.60450000002</v>
      </c>
      <c r="E88" s="213">
        <v>205542.2</v>
      </c>
      <c r="F88" s="311">
        <f>+[6]Data!E88</f>
        <v>187548.62</v>
      </c>
      <c r="G88" s="229">
        <f>+[6]Data!G88</f>
        <v>131870.87</v>
      </c>
      <c r="I88" s="237">
        <f t="shared" si="8"/>
        <v>17993.580000000016</v>
      </c>
      <c r="J88" s="442">
        <f>+I88/F88</f>
        <v>9.5940881889720206E-2</v>
      </c>
    </row>
    <row r="89" spans="1:10" x14ac:dyDescent="0.25">
      <c r="A89" s="1"/>
      <c r="B89" s="204" t="s">
        <v>77</v>
      </c>
      <c r="C89" s="3"/>
      <c r="D89" s="528"/>
      <c r="E89" s="213">
        <f>+[6]Data!D89</f>
        <v>0</v>
      </c>
      <c r="F89" s="311">
        <f>+[6]Data!E89</f>
        <v>0</v>
      </c>
      <c r="G89" s="229">
        <f>+[6]Data!G89</f>
        <v>0</v>
      </c>
      <c r="I89" s="237">
        <f t="shared" si="8"/>
        <v>0</v>
      </c>
      <c r="J89" s="442"/>
    </row>
    <row r="90" spans="1:10" x14ac:dyDescent="0.25">
      <c r="A90" s="1"/>
      <c r="B90" s="204" t="s">
        <v>78</v>
      </c>
      <c r="C90" s="3"/>
      <c r="D90" s="528">
        <v>750</v>
      </c>
      <c r="E90" s="213">
        <v>0</v>
      </c>
      <c r="F90" s="311">
        <f>+[6]Data!E90</f>
        <v>0</v>
      </c>
      <c r="G90" s="229">
        <f>+[6]Data!G90</f>
        <v>85.32</v>
      </c>
      <c r="I90" s="237">
        <f t="shared" ref="I90:I101" si="9">E90-F90</f>
        <v>0</v>
      </c>
      <c r="J90" s="442" t="e">
        <f t="shared" ref="J90:J103" si="10">+I90/F90</f>
        <v>#DIV/0!</v>
      </c>
    </row>
    <row r="91" spans="1:10" x14ac:dyDescent="0.25">
      <c r="A91" s="1"/>
      <c r="B91" s="204" t="s">
        <v>79</v>
      </c>
      <c r="C91" s="3"/>
      <c r="D91" s="528">
        <v>20004</v>
      </c>
      <c r="E91" s="213">
        <v>19284.509999999998</v>
      </c>
      <c r="F91" s="311">
        <f>+[6]Data!E91</f>
        <v>5677.94</v>
      </c>
      <c r="G91" s="229">
        <f>+[6]Data!G91</f>
        <v>6272.31</v>
      </c>
      <c r="I91" s="237">
        <f t="shared" si="9"/>
        <v>13606.57</v>
      </c>
      <c r="J91" s="442">
        <f t="shared" si="10"/>
        <v>2.3963920013244242</v>
      </c>
    </row>
    <row r="92" spans="1:10" x14ac:dyDescent="0.25">
      <c r="A92" s="1"/>
      <c r="B92" s="204" t="s">
        <v>80</v>
      </c>
      <c r="C92" s="3"/>
      <c r="D92" s="528">
        <v>13901.25</v>
      </c>
      <c r="E92" s="213">
        <v>15592.44</v>
      </c>
      <c r="F92" s="311">
        <f>+[6]Data!E92</f>
        <v>19098.050000000003</v>
      </c>
      <c r="G92" s="229">
        <f>+[6]Data!G92</f>
        <v>8584.42</v>
      </c>
      <c r="I92" s="237">
        <f t="shared" si="9"/>
        <v>-3505.6100000000024</v>
      </c>
      <c r="J92" s="442">
        <f t="shared" si="10"/>
        <v>-0.18355853084477219</v>
      </c>
    </row>
    <row r="93" spans="1:10" x14ac:dyDescent="0.25">
      <c r="A93" s="1"/>
      <c r="B93" s="204" t="s">
        <v>81</v>
      </c>
      <c r="C93" s="3"/>
      <c r="D93" s="528">
        <v>11085.615</v>
      </c>
      <c r="E93" s="213">
        <v>13157.759999999998</v>
      </c>
      <c r="F93" s="311">
        <f>+[6]Data!E93</f>
        <v>11451.36</v>
      </c>
      <c r="G93" s="229">
        <f>+[6]Data!G93</f>
        <v>34979.080000000009</v>
      </c>
      <c r="I93" s="237">
        <f t="shared" si="9"/>
        <v>1706.3999999999978</v>
      </c>
      <c r="J93" s="442">
        <f t="shared" si="10"/>
        <v>0.14901286834052879</v>
      </c>
    </row>
    <row r="94" spans="1:10" x14ac:dyDescent="0.25">
      <c r="A94" s="1"/>
      <c r="B94" s="204" t="s">
        <v>82</v>
      </c>
      <c r="C94" s="3"/>
      <c r="D94" s="528">
        <v>4999.9199999999992</v>
      </c>
      <c r="E94" s="213">
        <v>1263.8300000000002</v>
      </c>
      <c r="F94" s="311">
        <f>+[6]Data!E94</f>
        <v>17469.599999999999</v>
      </c>
      <c r="G94" s="229">
        <f>+[6]Data!G94</f>
        <v>2427.56</v>
      </c>
      <c r="I94" s="237">
        <f t="shared" si="9"/>
        <v>-16205.769999999999</v>
      </c>
      <c r="J94" s="442">
        <f t="shared" si="10"/>
        <v>-0.92765547007372806</v>
      </c>
    </row>
    <row r="95" spans="1:10" x14ac:dyDescent="0.25">
      <c r="A95" s="1"/>
      <c r="B95" s="204" t="s">
        <v>83</v>
      </c>
      <c r="C95" s="3"/>
      <c r="D95" s="528">
        <v>0</v>
      </c>
      <c r="E95" s="213">
        <v>33003.65</v>
      </c>
      <c r="F95" s="311">
        <f>+[6]Data!E95</f>
        <v>0.18000000000029104</v>
      </c>
      <c r="G95" s="229">
        <f>+[6]Data!G95</f>
        <v>5416.24</v>
      </c>
      <c r="I95" s="237">
        <f t="shared" si="9"/>
        <v>33003.47</v>
      </c>
      <c r="J95" s="442">
        <f t="shared" si="10"/>
        <v>183352.61111081467</v>
      </c>
    </row>
    <row r="96" spans="1:10" x14ac:dyDescent="0.25">
      <c r="A96" s="1"/>
      <c r="B96" s="204" t="s">
        <v>84</v>
      </c>
      <c r="C96" s="3"/>
      <c r="D96" s="528">
        <v>46715</v>
      </c>
      <c r="E96" s="213">
        <v>48562.5</v>
      </c>
      <c r="F96" s="311">
        <f>+[6]Data!E96</f>
        <v>69433.75</v>
      </c>
      <c r="G96" s="229">
        <f>+[6]Data!G96</f>
        <v>7665</v>
      </c>
      <c r="I96" s="237">
        <f t="shared" si="9"/>
        <v>-20871.25</v>
      </c>
      <c r="J96" s="442">
        <f t="shared" si="10"/>
        <v>-0.30059229121284675</v>
      </c>
    </row>
    <row r="97" spans="1:10" x14ac:dyDescent="0.25">
      <c r="A97" s="1"/>
      <c r="B97" s="204" t="s">
        <v>85</v>
      </c>
      <c r="C97" s="3"/>
      <c r="D97" s="528">
        <v>39960</v>
      </c>
      <c r="E97" s="213">
        <v>39520</v>
      </c>
      <c r="F97" s="311">
        <f>+[6]Data!E97</f>
        <v>32479.5</v>
      </c>
      <c r="G97" s="229">
        <f>+[6]Data!G97</f>
        <v>17462</v>
      </c>
      <c r="I97" s="237">
        <f t="shared" si="9"/>
        <v>7040.5</v>
      </c>
      <c r="J97" s="442">
        <f t="shared" si="10"/>
        <v>0.21676749949968441</v>
      </c>
    </row>
    <row r="98" spans="1:10" x14ac:dyDescent="0.25">
      <c r="A98" s="1"/>
      <c r="B98" s="204" t="s">
        <v>61</v>
      </c>
      <c r="C98" s="3"/>
      <c r="D98" s="528">
        <v>4404</v>
      </c>
      <c r="E98" s="213">
        <v>4406.08</v>
      </c>
      <c r="F98" s="311">
        <f>+[6]Data!E98</f>
        <v>1263.92</v>
      </c>
      <c r="G98" s="229">
        <f>+[6]Data!G98</f>
        <v>790.07000000000016</v>
      </c>
      <c r="I98" s="237">
        <f t="shared" si="9"/>
        <v>3142.16</v>
      </c>
      <c r="J98" s="442">
        <f t="shared" si="10"/>
        <v>2.4860434204696498</v>
      </c>
    </row>
    <row r="99" spans="1:10" x14ac:dyDescent="0.25">
      <c r="A99" s="1"/>
      <c r="B99" s="204" t="s">
        <v>86</v>
      </c>
      <c r="C99" s="3"/>
      <c r="D99" s="528">
        <v>10403.666666666666</v>
      </c>
      <c r="E99" s="213">
        <v>15094.3</v>
      </c>
      <c r="F99" s="311">
        <f>+[6]Data!E99</f>
        <v>7279.35</v>
      </c>
      <c r="G99" s="229">
        <f>+[6]Data!G99</f>
        <v>5553.0499999999993</v>
      </c>
      <c r="I99" s="237">
        <f t="shared" si="9"/>
        <v>7814.9499999999989</v>
      </c>
      <c r="J99" s="442">
        <f t="shared" si="10"/>
        <v>1.0735779980355387</v>
      </c>
    </row>
    <row r="100" spans="1:10" x14ac:dyDescent="0.25">
      <c r="A100" s="1"/>
      <c r="B100" s="204" t="s">
        <v>87</v>
      </c>
      <c r="C100" s="3"/>
      <c r="D100" s="528">
        <v>38676</v>
      </c>
      <c r="E100" s="213">
        <v>38679.649999999994</v>
      </c>
      <c r="F100" s="311">
        <f>+[6]Data!E100</f>
        <v>27220.519999999997</v>
      </c>
      <c r="G100" s="229">
        <f>+[6]Data!G100</f>
        <v>33101.449999999997</v>
      </c>
      <c r="I100" s="237">
        <f t="shared" si="9"/>
        <v>11459.129999999997</v>
      </c>
      <c r="J100" s="442">
        <f t="shared" si="10"/>
        <v>0.42097395641229479</v>
      </c>
    </row>
    <row r="101" spans="1:10" x14ac:dyDescent="0.25">
      <c r="A101" s="1"/>
      <c r="B101" s="204" t="s">
        <v>64</v>
      </c>
      <c r="C101" s="3"/>
      <c r="D101" s="528">
        <v>4920</v>
      </c>
      <c r="E101" s="213">
        <v>4918.95</v>
      </c>
      <c r="F101" s="311">
        <f>+[6]Data!E101</f>
        <v>13057.630000000003</v>
      </c>
      <c r="G101" s="229">
        <f>+[6]Data!G101</f>
        <v>4627.53</v>
      </c>
      <c r="I101" s="237">
        <f t="shared" si="9"/>
        <v>-8138.680000000003</v>
      </c>
      <c r="J101" s="442">
        <f t="shared" si="10"/>
        <v>-0.62328921864074882</v>
      </c>
    </row>
    <row r="102" spans="1:10" x14ac:dyDescent="0.25">
      <c r="A102" s="1"/>
      <c r="B102" s="205" t="s">
        <v>88</v>
      </c>
      <c r="C102" s="3"/>
      <c r="D102" s="531">
        <v>73040.400000000009</v>
      </c>
      <c r="E102" s="214">
        <v>80666.680000000008</v>
      </c>
      <c r="F102" s="314">
        <f>+[6]Data!E102</f>
        <v>146368.87000000002</v>
      </c>
      <c r="G102" s="230">
        <f>+[6]Data!G102</f>
        <v>150312.97</v>
      </c>
      <c r="I102" s="246">
        <f t="shared" si="8"/>
        <v>-65702.190000000017</v>
      </c>
      <c r="J102" s="444">
        <f t="shared" si="10"/>
        <v>-0.44888089933330771</v>
      </c>
    </row>
    <row r="103" spans="1:10" ht="15.75" thickBot="1" x14ac:dyDescent="0.3">
      <c r="A103" s="1"/>
      <c r="B103" s="210" t="s">
        <v>67</v>
      </c>
      <c r="C103" s="4"/>
      <c r="D103" s="223">
        <f>SUM(D86:D102)</f>
        <v>464829.29616666673</v>
      </c>
      <c r="E103" s="223">
        <f>SUM(E86:E102)</f>
        <v>543638.89</v>
      </c>
      <c r="F103" s="319">
        <f>SUM(F86:F102)</f>
        <v>550945.55000000005</v>
      </c>
      <c r="G103" s="319">
        <f>SUM(G86:G102)</f>
        <v>424642.66000000003</v>
      </c>
      <c r="I103" s="241">
        <f t="shared" si="8"/>
        <v>-7306.6600000000326</v>
      </c>
      <c r="J103" s="445">
        <f t="shared" si="10"/>
        <v>-1.3262036511593626E-2</v>
      </c>
    </row>
    <row r="104" spans="1:10" ht="15.75" thickBot="1" x14ac:dyDescent="0.3">
      <c r="A104" s="1"/>
      <c r="B104" s="48"/>
      <c r="C104" s="49"/>
      <c r="D104" s="49"/>
      <c r="E104" s="76"/>
      <c r="F104" s="232">
        <f>+F103/E103-1</f>
        <v>1.3440282022502137E-2</v>
      </c>
      <c r="G104" s="344">
        <f>+I103/F103-1</f>
        <v>-1.0132620365115936</v>
      </c>
      <c r="I104" s="76"/>
      <c r="J104" s="455"/>
    </row>
    <row r="105" spans="1:10" ht="15.75" thickBot="1" x14ac:dyDescent="0.3">
      <c r="A105" s="1"/>
      <c r="B105" s="208" t="s">
        <v>68</v>
      </c>
      <c r="C105" s="4"/>
      <c r="D105" s="4"/>
      <c r="E105" s="9"/>
      <c r="F105" s="9"/>
      <c r="G105" s="9"/>
      <c r="I105" s="9"/>
      <c r="J105" s="456"/>
    </row>
    <row r="106" spans="1:10" ht="15.75" thickBot="1" x14ac:dyDescent="0.3">
      <c r="A106" s="1"/>
      <c r="B106" s="220" t="s">
        <v>69</v>
      </c>
      <c r="C106" s="4"/>
      <c r="D106" s="217">
        <f>D83+D103</f>
        <v>1093846.9984637713</v>
      </c>
      <c r="E106" s="217">
        <f>E83+E103</f>
        <v>1142248.6400000001</v>
      </c>
      <c r="F106" s="218">
        <f>F83+F103</f>
        <v>1124972.3800000001</v>
      </c>
      <c r="G106" s="219">
        <f>G83+G103</f>
        <v>917709.14999999991</v>
      </c>
      <c r="I106" s="244">
        <f>E106-F106</f>
        <v>17276.260000000009</v>
      </c>
      <c r="J106" s="458">
        <f>+I106/F106</f>
        <v>1.5357052588259996E-2</v>
      </c>
    </row>
    <row r="107" spans="1:10" ht="15.75" thickBot="1" x14ac:dyDescent="0.3">
      <c r="A107" s="1"/>
      <c r="B107" s="48"/>
      <c r="C107" s="49"/>
      <c r="D107" s="49"/>
      <c r="E107" s="76"/>
      <c r="F107" s="232">
        <f>+F106/E106-1</f>
        <v>-1.5124780538149696E-2</v>
      </c>
      <c r="G107" s="344">
        <f>+I106/F106-1</f>
        <v>-0.98464294741173997</v>
      </c>
      <c r="I107" s="76"/>
      <c r="J107" s="455"/>
    </row>
    <row r="108" spans="1:10" ht="15.75" thickBot="1" x14ac:dyDescent="0.3">
      <c r="A108" s="1"/>
      <c r="B108" s="208" t="s">
        <v>89</v>
      </c>
      <c r="C108" s="4"/>
      <c r="D108" s="4"/>
      <c r="E108" s="101"/>
      <c r="F108" s="101"/>
      <c r="G108" s="101"/>
      <c r="I108" s="101"/>
      <c r="J108" s="460"/>
    </row>
    <row r="109" spans="1:10" ht="15.75" thickBot="1" x14ac:dyDescent="0.3">
      <c r="A109" s="1"/>
      <c r="B109" s="48"/>
      <c r="C109" s="49"/>
      <c r="D109" s="49"/>
      <c r="E109" s="103"/>
      <c r="F109" s="103"/>
      <c r="G109" s="103"/>
      <c r="I109" s="103"/>
      <c r="J109" s="449"/>
    </row>
    <row r="110" spans="1:10" ht="15.75" thickBot="1" x14ac:dyDescent="0.3">
      <c r="A110" s="1"/>
      <c r="B110" s="209" t="s">
        <v>48</v>
      </c>
      <c r="C110" s="4"/>
      <c r="D110" s="369" t="str">
        <f>D3</f>
        <v>BUDGET 2024</v>
      </c>
      <c r="E110" s="369" t="str">
        <f>E3</f>
        <v>Actual 2023</v>
      </c>
      <c r="F110" s="416" t="str">
        <f>F3</f>
        <v>ACTUAL 2022</v>
      </c>
      <c r="G110" s="450" t="str">
        <f>+G73</f>
        <v>ACTUAL 2021</v>
      </c>
      <c r="I110" s="235" t="str">
        <f>+I$3</f>
        <v>B 2024 vs Act 2023</v>
      </c>
      <c r="J110" s="451" t="str">
        <f>+J$3</f>
        <v>%</v>
      </c>
    </row>
    <row r="111" spans="1:10" x14ac:dyDescent="0.25">
      <c r="A111" s="1"/>
      <c r="B111" s="221" t="s">
        <v>19</v>
      </c>
      <c r="C111" s="3"/>
      <c r="D111" s="530">
        <v>197165.42316883965</v>
      </c>
      <c r="E111" s="213">
        <v>215743.05000000002</v>
      </c>
      <c r="F111" s="311">
        <f>+[6]Data!E111</f>
        <v>213680.13000000003</v>
      </c>
      <c r="G111" s="229">
        <f>+[6]Data!G111</f>
        <v>186519.7</v>
      </c>
      <c r="I111" s="237">
        <f t="shared" ref="I111:I119" si="11">E111-F111</f>
        <v>2062.9199999999837</v>
      </c>
      <c r="J111" s="442">
        <f>+I111/F111</f>
        <v>9.6542434713044363E-3</v>
      </c>
    </row>
    <row r="112" spans="1:10" x14ac:dyDescent="0.25">
      <c r="A112" s="1"/>
      <c r="B112" s="204" t="s">
        <v>50</v>
      </c>
      <c r="C112" s="3"/>
      <c r="D112" s="528">
        <v>25515.66607417553</v>
      </c>
      <c r="E112" s="213">
        <v>29360.98</v>
      </c>
      <c r="F112" s="311">
        <f>+[6]Data!E112</f>
        <v>17986</v>
      </c>
      <c r="G112" s="229">
        <f>+[6]Data!G112</f>
        <v>14925.739999999998</v>
      </c>
      <c r="I112" s="237">
        <f t="shared" si="11"/>
        <v>11374.98</v>
      </c>
      <c r="J112" s="442">
        <f>+I112/F112</f>
        <v>0.6324352273990882</v>
      </c>
    </row>
    <row r="113" spans="1:10" x14ac:dyDescent="0.25">
      <c r="A113" s="1"/>
      <c r="B113" s="204" t="s">
        <v>73</v>
      </c>
      <c r="C113" s="3"/>
      <c r="D113" s="528">
        <v>16830</v>
      </c>
      <c r="E113" s="213">
        <v>21179.170000000002</v>
      </c>
      <c r="F113" s="311">
        <f>+[6]Data!E113</f>
        <v>17295.173999999995</v>
      </c>
      <c r="G113" s="229">
        <f>+[6]Data!G113</f>
        <v>11963.600000000002</v>
      </c>
      <c r="I113" s="237">
        <f t="shared" si="11"/>
        <v>3883.9960000000065</v>
      </c>
      <c r="J113" s="442">
        <f>+I113/F113</f>
        <v>0.22457108555253666</v>
      </c>
    </row>
    <row r="114" spans="1:10" x14ac:dyDescent="0.25">
      <c r="A114" s="1"/>
      <c r="B114" s="204" t="s">
        <v>52</v>
      </c>
      <c r="C114" s="3"/>
      <c r="D114" s="528"/>
      <c r="E114" s="213">
        <f>+[6]Data!D114</f>
        <v>0</v>
      </c>
      <c r="F114" s="311">
        <f>+[6]Data!E114</f>
        <v>0</v>
      </c>
      <c r="G114" s="229">
        <f>+[6]Data!G114</f>
        <v>0</v>
      </c>
      <c r="I114" s="237">
        <f t="shared" si="11"/>
        <v>0</v>
      </c>
      <c r="J114" s="442"/>
    </row>
    <row r="115" spans="1:10" x14ac:dyDescent="0.25">
      <c r="A115" s="1"/>
      <c r="B115" s="204" t="s">
        <v>53</v>
      </c>
      <c r="C115" s="3"/>
      <c r="D115" s="528">
        <v>17926.439999999999</v>
      </c>
      <c r="E115" s="213">
        <v>17701.940000000002</v>
      </c>
      <c r="F115" s="311">
        <f>+[6]Data!E115</f>
        <v>25249.540000000005</v>
      </c>
      <c r="G115" s="229">
        <f>+[6]Data!G115</f>
        <v>21219.609999999997</v>
      </c>
      <c r="I115" s="237">
        <f t="shared" si="11"/>
        <v>-7547.6000000000022</v>
      </c>
      <c r="J115" s="442">
        <f>+I115/F115</f>
        <v>-0.29892029716184931</v>
      </c>
    </row>
    <row r="116" spans="1:10" x14ac:dyDescent="0.25">
      <c r="A116" s="1"/>
      <c r="B116" s="204" t="s">
        <v>54</v>
      </c>
      <c r="C116" s="3"/>
      <c r="D116" s="528">
        <v>22781.931560639307</v>
      </c>
      <c r="E116" s="213">
        <v>29435.289999999997</v>
      </c>
      <c r="F116" s="311">
        <f>+[6]Data!E116</f>
        <v>21159.360000000001</v>
      </c>
      <c r="G116" s="229">
        <f>+[6]Data!G116</f>
        <v>18527.099999999999</v>
      </c>
      <c r="I116" s="237">
        <f t="shared" si="11"/>
        <v>8275.9299999999967</v>
      </c>
      <c r="J116" s="442">
        <f>+I116/F116</f>
        <v>0.39112383361311476</v>
      </c>
    </row>
    <row r="117" spans="1:10" x14ac:dyDescent="0.25">
      <c r="A117" s="1"/>
      <c r="B117" s="204" t="s">
        <v>90</v>
      </c>
      <c r="C117" s="3"/>
      <c r="D117" s="528">
        <v>-140109.73040182726</v>
      </c>
      <c r="E117" s="213">
        <v>-156710.39000000001</v>
      </c>
      <c r="F117" s="311">
        <f>+[6]Data!E117</f>
        <v>-147686</v>
      </c>
      <c r="G117" s="229">
        <f>+[6]Data!G117</f>
        <v>-126578.6</v>
      </c>
      <c r="I117" s="237">
        <f t="shared" si="11"/>
        <v>-9024.390000000014</v>
      </c>
      <c r="J117" s="442">
        <f>+I117/F117</f>
        <v>6.1105250328399537E-2</v>
      </c>
    </row>
    <row r="118" spans="1:10" x14ac:dyDescent="0.25">
      <c r="A118" s="1"/>
      <c r="B118" s="203"/>
      <c r="C118" s="4"/>
      <c r="D118" s="523"/>
      <c r="E118" s="314"/>
      <c r="F118" s="314"/>
      <c r="G118" s="230"/>
      <c r="I118" s="246">
        <f t="shared" si="11"/>
        <v>0</v>
      </c>
      <c r="J118" s="444"/>
    </row>
    <row r="119" spans="1:10" ht="15.75" thickBot="1" x14ac:dyDescent="0.3">
      <c r="A119" s="1"/>
      <c r="B119" s="206" t="s">
        <v>55</v>
      </c>
      <c r="C119" s="4"/>
      <c r="D119" s="223">
        <f>SUM(D111:D118)</f>
        <v>140109.73040182726</v>
      </c>
      <c r="E119" s="223">
        <f>SUM(E111:E118)</f>
        <v>156710.03999999998</v>
      </c>
      <c r="F119" s="319">
        <f>SUM(F111:F118)</f>
        <v>147684.20400000003</v>
      </c>
      <c r="G119" s="319">
        <f>SUM(G111:G118)</f>
        <v>126577.15</v>
      </c>
      <c r="I119" s="241">
        <f t="shared" si="11"/>
        <v>9025.835999999952</v>
      </c>
      <c r="J119" s="445">
        <f>+I119/F119</f>
        <v>6.1115784596705754E-2</v>
      </c>
    </row>
    <row r="120" spans="1:10" ht="15.75" thickBot="1" x14ac:dyDescent="0.3">
      <c r="A120" s="1"/>
      <c r="B120" s="48"/>
      <c r="C120" s="49"/>
      <c r="D120" s="49"/>
      <c r="E120" s="76"/>
      <c r="F120" s="76"/>
      <c r="G120" s="76"/>
      <c r="I120" s="76"/>
      <c r="J120" s="455"/>
    </row>
    <row r="121" spans="1:10" ht="15.75" thickBot="1" x14ac:dyDescent="0.3">
      <c r="A121" s="1"/>
      <c r="B121" s="208" t="s">
        <v>56</v>
      </c>
      <c r="C121" s="4"/>
      <c r="D121" s="4"/>
      <c r="E121" s="9"/>
      <c r="F121" s="9"/>
      <c r="G121" s="9"/>
      <c r="I121" s="9"/>
      <c r="J121" s="456"/>
    </row>
    <row r="122" spans="1:10" x14ac:dyDescent="0.25">
      <c r="A122" s="3"/>
      <c r="B122" s="211" t="s">
        <v>91</v>
      </c>
      <c r="C122" s="3"/>
      <c r="D122" s="530">
        <v>65338</v>
      </c>
      <c r="E122" s="322">
        <v>81987.62999999999</v>
      </c>
      <c r="F122" s="326">
        <f>+[6]Data!E122</f>
        <v>31677.01</v>
      </c>
      <c r="G122" s="331">
        <f>+[6]Data!G122</f>
        <v>26296.329999999998</v>
      </c>
      <c r="I122" s="236">
        <f t="shared" ref="I122:I133" si="12">E122-F122</f>
        <v>50310.619999999995</v>
      </c>
      <c r="J122" s="457">
        <f t="shared" ref="J122:J133" si="13">+I122/F122</f>
        <v>1.5882376524804582</v>
      </c>
    </row>
    <row r="123" spans="1:10" x14ac:dyDescent="0.25">
      <c r="A123" s="3"/>
      <c r="B123" s="204" t="s">
        <v>110</v>
      </c>
      <c r="C123" s="3"/>
      <c r="D123" s="528">
        <v>2988</v>
      </c>
      <c r="E123" s="323">
        <v>3484.25</v>
      </c>
      <c r="F123" s="315">
        <f>+[6]Data!E123</f>
        <v>464.01</v>
      </c>
      <c r="G123" s="332">
        <f>+[6]Data!G123</f>
        <v>0</v>
      </c>
      <c r="I123" s="237">
        <f t="shared" si="12"/>
        <v>3020.24</v>
      </c>
      <c r="J123" s="442">
        <f t="shared" si="13"/>
        <v>6.5089976509126952</v>
      </c>
    </row>
    <row r="124" spans="1:10" x14ac:dyDescent="0.25">
      <c r="A124" s="3"/>
      <c r="B124" s="204" t="s">
        <v>92</v>
      </c>
      <c r="C124" s="3"/>
      <c r="D124" s="528">
        <v>15966</v>
      </c>
      <c r="E124" s="323">
        <v>18286.98</v>
      </c>
      <c r="F124" s="315">
        <f>+[6]Data!E124</f>
        <v>2162.2800000000002</v>
      </c>
      <c r="G124" s="332">
        <f>+[6]Data!G124</f>
        <v>3272.86</v>
      </c>
      <c r="I124" s="237">
        <f t="shared" si="12"/>
        <v>16124.699999999999</v>
      </c>
      <c r="J124" s="442">
        <f t="shared" si="13"/>
        <v>7.4572673289305724</v>
      </c>
    </row>
    <row r="125" spans="1:10" x14ac:dyDescent="0.25">
      <c r="A125" s="3"/>
      <c r="B125" s="204" t="s">
        <v>61</v>
      </c>
      <c r="C125" s="3"/>
      <c r="D125" s="528">
        <v>960</v>
      </c>
      <c r="E125" s="323">
        <v>813.98</v>
      </c>
      <c r="F125" s="315">
        <f>+[6]Data!E125</f>
        <v>1541.3</v>
      </c>
      <c r="G125" s="332">
        <f>+[6]Data!G125</f>
        <v>2368.2599999999993</v>
      </c>
      <c r="I125" s="237">
        <f t="shared" si="12"/>
        <v>-727.31999999999994</v>
      </c>
      <c r="J125" s="442">
        <f t="shared" si="13"/>
        <v>-0.47188736780639717</v>
      </c>
    </row>
    <row r="126" spans="1:10" x14ac:dyDescent="0.25">
      <c r="A126" s="3"/>
      <c r="B126" s="222" t="s">
        <v>79</v>
      </c>
      <c r="C126" s="3"/>
      <c r="D126" s="528">
        <v>7740.0833333333339</v>
      </c>
      <c r="E126" s="323">
        <v>7740.97</v>
      </c>
      <c r="F126" s="162">
        <f>+[6]Data!E126</f>
        <v>11805.970000000001</v>
      </c>
      <c r="G126" s="332">
        <f>+[6]Data!G126</f>
        <v>0</v>
      </c>
      <c r="I126" s="237">
        <f t="shared" si="12"/>
        <v>-4065.0000000000009</v>
      </c>
      <c r="J126" s="442">
        <f t="shared" si="13"/>
        <v>-0.34431732420123046</v>
      </c>
    </row>
    <row r="127" spans="1:10" x14ac:dyDescent="0.25">
      <c r="A127" s="1"/>
      <c r="B127" s="204" t="s">
        <v>93</v>
      </c>
      <c r="C127" s="1"/>
      <c r="D127" s="327">
        <v>320151</v>
      </c>
      <c r="E127" s="323">
        <v>431772.30159260193</v>
      </c>
      <c r="F127" s="327">
        <f>+[6]Data!E127</f>
        <v>418600</v>
      </c>
      <c r="G127" s="332">
        <f>+[6]Data!G127</f>
        <v>317687.77324644401</v>
      </c>
      <c r="I127" s="237">
        <f t="shared" si="12"/>
        <v>13172.301592601929</v>
      </c>
      <c r="J127" s="442">
        <f t="shared" si="13"/>
        <v>3.1467514554710772E-2</v>
      </c>
    </row>
    <row r="128" spans="1:10" x14ac:dyDescent="0.25">
      <c r="A128" s="1"/>
      <c r="B128" s="204" t="s">
        <v>94</v>
      </c>
      <c r="C128" s="3"/>
      <c r="D128" s="528">
        <v>0</v>
      </c>
      <c r="E128" s="323">
        <v>0</v>
      </c>
      <c r="F128" s="315">
        <f>+[6]Data!E128</f>
        <v>0</v>
      </c>
      <c r="G128" s="332">
        <f>+[6]Data!G128</f>
        <v>6085.5300000000007</v>
      </c>
      <c r="I128" s="237">
        <f t="shared" si="12"/>
        <v>0</v>
      </c>
      <c r="J128" s="442" t="e">
        <f t="shared" si="13"/>
        <v>#DIV/0!</v>
      </c>
    </row>
    <row r="129" spans="1:10" x14ac:dyDescent="0.25">
      <c r="A129" s="1"/>
      <c r="B129" s="204" t="s">
        <v>90</v>
      </c>
      <c r="C129" s="1"/>
      <c r="D129" s="327">
        <v>-206571.54166666669</v>
      </c>
      <c r="E129" s="323">
        <v>-270701.35000000021</v>
      </c>
      <c r="F129" s="327">
        <f>+[6]Data!E129</f>
        <v>-233273.94</v>
      </c>
      <c r="G129" s="332">
        <f>+[6]Data!G129</f>
        <v>-179139.06</v>
      </c>
      <c r="I129" s="237">
        <f t="shared" si="12"/>
        <v>-37427.410000000207</v>
      </c>
      <c r="J129" s="442">
        <f t="shared" si="13"/>
        <v>0.16044402559497303</v>
      </c>
    </row>
    <row r="130" spans="1:10" x14ac:dyDescent="0.25">
      <c r="A130" s="1"/>
      <c r="B130" s="204" t="s">
        <v>95</v>
      </c>
      <c r="C130" s="3"/>
      <c r="D130" s="528">
        <v>51300</v>
      </c>
      <c r="E130" s="323">
        <v>59621.95</v>
      </c>
      <c r="F130" s="315">
        <f>+[6]Data!E130</f>
        <v>61008</v>
      </c>
      <c r="G130" s="332">
        <f>+[6]Data!G130</f>
        <v>55780.185420000002</v>
      </c>
      <c r="I130" s="237">
        <f t="shared" si="12"/>
        <v>-1386.0500000000029</v>
      </c>
      <c r="J130" s="442">
        <f t="shared" si="13"/>
        <v>-2.2719151586677203E-2</v>
      </c>
    </row>
    <row r="131" spans="1:10" x14ac:dyDescent="0.25">
      <c r="A131" s="1"/>
      <c r="B131" s="204" t="s">
        <v>96</v>
      </c>
      <c r="C131" s="3"/>
      <c r="D131" s="528">
        <v>3759.9599999999996</v>
      </c>
      <c r="E131" s="324">
        <v>3760.84</v>
      </c>
      <c r="F131" s="315">
        <f>+[6]Data!E131</f>
        <v>10826.44</v>
      </c>
      <c r="G131" s="332">
        <f>+[6]Data!G131</f>
        <v>530.4</v>
      </c>
      <c r="I131" s="237">
        <f t="shared" si="12"/>
        <v>-7065.6</v>
      </c>
      <c r="J131" s="442">
        <f t="shared" si="13"/>
        <v>-0.65262450075925238</v>
      </c>
    </row>
    <row r="132" spans="1:10" x14ac:dyDescent="0.25">
      <c r="A132" s="1"/>
      <c r="B132" s="205" t="s">
        <v>97</v>
      </c>
      <c r="C132" s="3"/>
      <c r="D132" s="531">
        <v>11001.960000000001</v>
      </c>
      <c r="E132" s="325">
        <v>11732.32</v>
      </c>
      <c r="F132" s="328">
        <f>+[6]Data!E132</f>
        <v>14063.41</v>
      </c>
      <c r="G132" s="333">
        <f>+[6]Data!G132</f>
        <v>5404.85</v>
      </c>
      <c r="I132" s="246">
        <f t="shared" si="12"/>
        <v>-2331.09</v>
      </c>
      <c r="J132" s="444">
        <f t="shared" si="13"/>
        <v>-0.16575567376617764</v>
      </c>
    </row>
    <row r="133" spans="1:10" ht="15.75" thickBot="1" x14ac:dyDescent="0.3">
      <c r="A133" s="1"/>
      <c r="B133" s="210" t="s">
        <v>67</v>
      </c>
      <c r="C133" s="4"/>
      <c r="D133" s="223">
        <f>SUM(D122:D132)</f>
        <v>272633.46166666661</v>
      </c>
      <c r="E133" s="223">
        <f>SUM(E122:E132)</f>
        <v>348499.8715926017</v>
      </c>
      <c r="F133" s="319">
        <f>SUM(F122:F132)</f>
        <v>318874.48</v>
      </c>
      <c r="G133" s="319">
        <f>SUM(G122:G132)</f>
        <v>238287.12866644404</v>
      </c>
      <c r="I133" s="241">
        <f t="shared" si="12"/>
        <v>29625.391592601722</v>
      </c>
      <c r="J133" s="445">
        <f t="shared" si="13"/>
        <v>9.2906122787253853E-2</v>
      </c>
    </row>
    <row r="134" spans="1:10" ht="15.75" thickBot="1" x14ac:dyDescent="0.3">
      <c r="A134" s="1"/>
      <c r="B134" s="48"/>
      <c r="C134" s="49"/>
      <c r="D134" s="49"/>
      <c r="E134" s="57"/>
      <c r="F134" s="57"/>
      <c r="G134" s="57"/>
      <c r="I134" s="57"/>
      <c r="J134" s="455"/>
    </row>
    <row r="135" spans="1:10" ht="15.75" thickBot="1" x14ac:dyDescent="0.3">
      <c r="A135" s="1"/>
      <c r="B135" s="208" t="s">
        <v>68</v>
      </c>
      <c r="C135" s="4"/>
      <c r="D135" s="4"/>
      <c r="E135" s="120"/>
      <c r="F135" s="120"/>
      <c r="G135" s="120"/>
      <c r="I135" s="120"/>
      <c r="J135" s="456"/>
    </row>
    <row r="136" spans="1:10" ht="15.75" thickBot="1" x14ac:dyDescent="0.3">
      <c r="A136" s="1"/>
      <c r="B136" s="220" t="s">
        <v>69</v>
      </c>
      <c r="C136" s="4"/>
      <c r="D136" s="217">
        <f>D119+D133</f>
        <v>412743.19206849387</v>
      </c>
      <c r="E136" s="217">
        <f>E119+E133</f>
        <v>505209.91159260168</v>
      </c>
      <c r="F136" s="218">
        <f>F119+F133</f>
        <v>466558.68400000001</v>
      </c>
      <c r="G136" s="219">
        <f>I119+I133</f>
        <v>38651.227592601674</v>
      </c>
      <c r="I136" s="244">
        <f>E136-F136</f>
        <v>38651.227592601674</v>
      </c>
      <c r="J136" s="458">
        <f>+I136/F136</f>
        <v>8.2843228339956637E-2</v>
      </c>
    </row>
    <row r="137" spans="1:10" x14ac:dyDescent="0.25">
      <c r="A137" s="1"/>
      <c r="B137" s="2"/>
      <c r="C137" s="4"/>
      <c r="D137" s="4"/>
      <c r="E137" s="100"/>
      <c r="F137" s="100"/>
      <c r="G137" s="100"/>
      <c r="I137" s="100"/>
      <c r="J137" s="459"/>
    </row>
    <row r="138" spans="1:10" ht="15.75" thickBot="1" x14ac:dyDescent="0.3">
      <c r="A138" s="1"/>
      <c r="B138" s="48"/>
      <c r="C138" s="49"/>
      <c r="D138" s="49"/>
      <c r="E138" s="76"/>
      <c r="F138" s="76"/>
      <c r="G138" s="76"/>
      <c r="I138" s="76"/>
      <c r="J138" s="455"/>
    </row>
    <row r="139" spans="1:10" ht="15.75" thickBot="1" x14ac:dyDescent="0.3">
      <c r="A139" s="1"/>
      <c r="B139" s="208" t="s">
        <v>98</v>
      </c>
      <c r="C139" s="4"/>
      <c r="D139" s="4"/>
      <c r="E139" s="101"/>
      <c r="F139" s="101"/>
      <c r="G139" s="101"/>
      <c r="I139" s="101"/>
      <c r="J139" s="460"/>
    </row>
    <row r="140" spans="1:10" ht="15.75" thickBot="1" x14ac:dyDescent="0.3">
      <c r="A140" s="1"/>
      <c r="B140" s="48"/>
      <c r="C140" s="49"/>
      <c r="D140" s="49"/>
      <c r="E140" s="103"/>
      <c r="F140" s="103"/>
      <c r="G140" s="103"/>
      <c r="I140" s="103"/>
      <c r="J140" s="449"/>
    </row>
    <row r="141" spans="1:10" ht="15.75" thickBot="1" x14ac:dyDescent="0.3">
      <c r="A141" s="1"/>
      <c r="B141" s="208" t="s">
        <v>48</v>
      </c>
      <c r="C141" s="4"/>
      <c r="D141" s="224" t="str">
        <f>D3</f>
        <v>BUDGET 2024</v>
      </c>
      <c r="E141" s="224" t="str">
        <f>E3</f>
        <v>Actual 2023</v>
      </c>
      <c r="F141" s="461" t="str">
        <f>F3</f>
        <v>ACTUAL 2022</v>
      </c>
      <c r="G141" s="462" t="str">
        <f>+G110</f>
        <v>ACTUAL 2021</v>
      </c>
      <c r="I141" s="235" t="str">
        <f>+I$3</f>
        <v>B 2024 vs Act 2023</v>
      </c>
      <c r="J141" s="451" t="str">
        <f>+J$3</f>
        <v>%</v>
      </c>
    </row>
    <row r="142" spans="1:10" x14ac:dyDescent="0.25">
      <c r="A142" s="1"/>
      <c r="B142" s="225" t="s">
        <v>99</v>
      </c>
      <c r="C142" s="3"/>
      <c r="D142" s="525"/>
      <c r="E142" s="334"/>
      <c r="F142" s="340"/>
      <c r="G142" s="337"/>
      <c r="I142" s="245"/>
      <c r="J142" s="442"/>
    </row>
    <row r="143" spans="1:10" x14ac:dyDescent="0.25">
      <c r="A143" s="1"/>
      <c r="B143" s="203" t="s">
        <v>100</v>
      </c>
      <c r="C143" s="4"/>
      <c r="D143" s="524"/>
      <c r="E143" s="335"/>
      <c r="F143" s="341"/>
      <c r="G143" s="338"/>
      <c r="I143" s="245"/>
      <c r="J143" s="442"/>
    </row>
    <row r="144" spans="1:10" x14ac:dyDescent="0.25">
      <c r="A144" s="1"/>
      <c r="B144" s="204"/>
      <c r="C144" s="3"/>
      <c r="D144" s="222"/>
      <c r="E144" s="335"/>
      <c r="F144" s="341"/>
      <c r="G144" s="338"/>
      <c r="I144" s="245"/>
      <c r="J144" s="442"/>
    </row>
    <row r="145" spans="1:10" x14ac:dyDescent="0.25">
      <c r="A145" s="1"/>
      <c r="B145" s="204" t="s">
        <v>50</v>
      </c>
      <c r="C145" s="3"/>
      <c r="D145" s="222"/>
      <c r="E145" s="335"/>
      <c r="F145" s="341"/>
      <c r="G145" s="338"/>
      <c r="I145" s="245"/>
      <c r="J145" s="442"/>
    </row>
    <row r="146" spans="1:10" x14ac:dyDescent="0.25">
      <c r="A146" s="1"/>
      <c r="B146" s="204" t="s">
        <v>73</v>
      </c>
      <c r="C146" s="3"/>
      <c r="D146" s="222"/>
      <c r="E146" s="335"/>
      <c r="F146" s="341"/>
      <c r="G146" s="338"/>
      <c r="I146" s="245"/>
      <c r="J146" s="442"/>
    </row>
    <row r="147" spans="1:10" x14ac:dyDescent="0.25">
      <c r="A147" s="1"/>
      <c r="B147" s="204" t="s">
        <v>52</v>
      </c>
      <c r="C147" s="3"/>
      <c r="D147" s="222"/>
      <c r="E147" s="335"/>
      <c r="F147" s="341"/>
      <c r="G147" s="338"/>
      <c r="I147" s="245"/>
      <c r="J147" s="442"/>
    </row>
    <row r="148" spans="1:10" x14ac:dyDescent="0.25">
      <c r="A148" s="1"/>
      <c r="B148" s="204" t="s">
        <v>53</v>
      </c>
      <c r="C148" s="3"/>
      <c r="D148" s="222"/>
      <c r="E148" s="335"/>
      <c r="F148" s="341"/>
      <c r="G148" s="338"/>
      <c r="I148" s="245"/>
      <c r="J148" s="442"/>
    </row>
    <row r="149" spans="1:10" x14ac:dyDescent="0.25">
      <c r="A149" s="1"/>
      <c r="B149" s="226" t="s">
        <v>54</v>
      </c>
      <c r="C149" s="3"/>
      <c r="D149" s="519"/>
      <c r="E149" s="336"/>
      <c r="F149" s="342"/>
      <c r="G149" s="339"/>
      <c r="I149" s="247"/>
      <c r="J149" s="444"/>
    </row>
    <row r="150" spans="1:10" x14ac:dyDescent="0.25">
      <c r="A150" s="1"/>
      <c r="B150" s="203" t="s">
        <v>101</v>
      </c>
      <c r="C150" s="4"/>
      <c r="D150" s="524"/>
      <c r="E150" s="335"/>
      <c r="F150" s="341"/>
      <c r="G150" s="338"/>
      <c r="I150" s="245"/>
      <c r="J150" s="442"/>
    </row>
    <row r="151" spans="1:10" x14ac:dyDescent="0.25">
      <c r="A151" s="1"/>
      <c r="B151" s="227"/>
      <c r="C151" s="4"/>
      <c r="D151" s="524"/>
      <c r="E151" s="335"/>
      <c r="F151" s="341"/>
      <c r="G151" s="338"/>
      <c r="I151" s="245"/>
      <c r="J151" s="442"/>
    </row>
    <row r="152" spans="1:10" x14ac:dyDescent="0.25">
      <c r="A152" s="1"/>
      <c r="B152" s="203" t="s">
        <v>102</v>
      </c>
      <c r="C152" s="4"/>
      <c r="D152" s="532">
        <v>82152</v>
      </c>
      <c r="E152" s="213">
        <v>91024</v>
      </c>
      <c r="F152" s="311">
        <f>+[6]Data!E152</f>
        <v>84803</v>
      </c>
      <c r="G152" s="229">
        <f>+[6]Data!G152</f>
        <v>69485</v>
      </c>
      <c r="I152" s="237">
        <f>E152-F152</f>
        <v>6221</v>
      </c>
      <c r="J152" s="442">
        <f>+I152/F152</f>
        <v>7.3358253835359599E-2</v>
      </c>
    </row>
    <row r="153" spans="1:10" x14ac:dyDescent="0.25">
      <c r="A153" s="1"/>
      <c r="B153" s="204"/>
      <c r="C153" s="3"/>
      <c r="D153" s="519"/>
      <c r="E153" s="335"/>
      <c r="F153" s="341"/>
      <c r="G153" s="338"/>
      <c r="I153" s="246">
        <f>E153-F153</f>
        <v>0</v>
      </c>
      <c r="J153" s="444"/>
    </row>
    <row r="154" spans="1:10" ht="15.75" thickBot="1" x14ac:dyDescent="0.3">
      <c r="A154" s="1"/>
      <c r="B154" s="206" t="s">
        <v>55</v>
      </c>
      <c r="C154" s="4"/>
      <c r="D154" s="522"/>
      <c r="E154" s="228">
        <f>E152</f>
        <v>91024</v>
      </c>
      <c r="F154" s="228">
        <f t="shared" ref="F154:G154" si="14">F152</f>
        <v>84803</v>
      </c>
      <c r="G154" s="228">
        <f t="shared" si="14"/>
        <v>69485</v>
      </c>
      <c r="I154" s="241">
        <f>E154-F154</f>
        <v>6221</v>
      </c>
      <c r="J154" s="445">
        <f>+I154/F154</f>
        <v>7.3358253835359599E-2</v>
      </c>
    </row>
    <row r="155" spans="1:10" ht="15.75" thickBot="1" x14ac:dyDescent="0.3">
      <c r="A155" s="1"/>
      <c r="B155" s="48"/>
      <c r="C155" s="49"/>
      <c r="D155" s="49"/>
      <c r="E155" s="57"/>
      <c r="F155" s="57"/>
      <c r="G155" s="57"/>
      <c r="I155" s="57"/>
      <c r="J155" s="455"/>
    </row>
    <row r="156" spans="1:10" ht="15.75" thickBot="1" x14ac:dyDescent="0.3">
      <c r="A156" s="1"/>
      <c r="B156" s="208" t="s">
        <v>56</v>
      </c>
      <c r="C156" s="4"/>
      <c r="D156" s="4"/>
      <c r="E156" s="9"/>
      <c r="F156" s="9"/>
      <c r="G156" s="9"/>
      <c r="I156" s="9"/>
      <c r="J156" s="456"/>
    </row>
    <row r="157" spans="1:10" x14ac:dyDescent="0.25">
      <c r="A157" s="1"/>
      <c r="B157" s="211" t="s">
        <v>103</v>
      </c>
      <c r="C157" s="3"/>
      <c r="D157" s="530">
        <v>6000</v>
      </c>
      <c r="E157" s="212">
        <v>4500</v>
      </c>
      <c r="F157" s="317">
        <f>+[6]Data!E157</f>
        <v>4500</v>
      </c>
      <c r="G157" s="318">
        <f>+[6]Data!G157</f>
        <v>4500</v>
      </c>
      <c r="I157" s="236">
        <f>E157-F157</f>
        <v>0</v>
      </c>
      <c r="J157" s="457"/>
    </row>
    <row r="158" spans="1:10" x14ac:dyDescent="0.25">
      <c r="A158" s="1"/>
      <c r="B158" s="204" t="s">
        <v>104</v>
      </c>
      <c r="C158" s="3"/>
      <c r="D158" s="222"/>
      <c r="E158" s="213"/>
      <c r="F158" s="311"/>
      <c r="G158" s="229"/>
      <c r="I158" s="237">
        <f>E158-F158</f>
        <v>0</v>
      </c>
      <c r="J158" s="442"/>
    </row>
    <row r="159" spans="1:10" x14ac:dyDescent="0.25">
      <c r="A159" s="1"/>
      <c r="B159" s="204" t="s">
        <v>94</v>
      </c>
      <c r="C159" s="3"/>
      <c r="D159" s="519"/>
      <c r="E159" s="213">
        <v>0</v>
      </c>
      <c r="F159" s="311">
        <f>+[6]Data!E159</f>
        <v>321</v>
      </c>
      <c r="G159" s="229">
        <f>+[6]Data!G159</f>
        <v>267</v>
      </c>
      <c r="I159" s="246">
        <f>E159-F159</f>
        <v>-321</v>
      </c>
      <c r="J159" s="444">
        <f>+I159/F159</f>
        <v>-1</v>
      </c>
    </row>
    <row r="160" spans="1:10" ht="15.75" thickBot="1" x14ac:dyDescent="0.3">
      <c r="A160" s="1"/>
      <c r="B160" s="206" t="s">
        <v>67</v>
      </c>
      <c r="C160" s="4"/>
      <c r="D160" s="223">
        <f>SUM(D157:D159)</f>
        <v>6000</v>
      </c>
      <c r="E160" s="228">
        <f>SUM(E157:E159)</f>
        <v>4500</v>
      </c>
      <c r="F160" s="343">
        <f>SUM(F157:F159)</f>
        <v>4821</v>
      </c>
      <c r="G160" s="343">
        <f>SUM(G157:G159)</f>
        <v>4767</v>
      </c>
      <c r="I160" s="242">
        <f>E160-F160</f>
        <v>-321</v>
      </c>
      <c r="J160" s="463">
        <f>+I160/F160</f>
        <v>-6.6583696328562536E-2</v>
      </c>
    </row>
    <row r="161" spans="1:10" ht="15.75" thickBot="1" x14ac:dyDescent="0.3">
      <c r="A161" s="1"/>
      <c r="B161" s="48"/>
      <c r="C161" s="49"/>
      <c r="D161" s="49"/>
      <c r="E161" s="76"/>
      <c r="F161" s="76"/>
      <c r="G161" s="76"/>
      <c r="I161" s="76"/>
      <c r="J161" s="455"/>
    </row>
    <row r="162" spans="1:10" ht="15.75" thickBot="1" x14ac:dyDescent="0.3">
      <c r="A162" s="1"/>
      <c r="B162" s="208" t="s">
        <v>68</v>
      </c>
      <c r="C162" s="4"/>
      <c r="D162" s="4"/>
      <c r="E162" s="9"/>
      <c r="F162" s="9"/>
      <c r="G162" s="9"/>
      <c r="I162" s="9"/>
      <c r="J162" s="456"/>
    </row>
    <row r="163" spans="1:10" ht="15.75" thickBot="1" x14ac:dyDescent="0.3">
      <c r="A163" s="1"/>
      <c r="B163" s="220" t="s">
        <v>69</v>
      </c>
      <c r="C163" s="4"/>
      <c r="D163" s="217">
        <f>D154+D160</f>
        <v>6000</v>
      </c>
      <c r="E163" s="217">
        <f>E154+E160</f>
        <v>95524</v>
      </c>
      <c r="F163" s="218">
        <f>F154+F160</f>
        <v>89624</v>
      </c>
      <c r="G163" s="219">
        <f>G154+G160</f>
        <v>74252</v>
      </c>
      <c r="I163" s="244">
        <f>E163-F163</f>
        <v>5900</v>
      </c>
      <c r="J163" s="458">
        <f>+I163/F163</f>
        <v>6.5830581094349722E-2</v>
      </c>
    </row>
    <row r="164" spans="1:10" x14ac:dyDescent="0.25">
      <c r="A164" s="1"/>
      <c r="B164" s="2"/>
      <c r="C164" s="4"/>
      <c r="D164" s="4"/>
      <c r="E164" s="100"/>
      <c r="F164" s="100"/>
      <c r="G164" s="100"/>
      <c r="I164" s="100"/>
      <c r="J164" s="459"/>
    </row>
    <row r="165" spans="1:10" ht="15.75" thickBot="1" x14ac:dyDescent="0.3">
      <c r="A165" s="1"/>
      <c r="B165" s="48"/>
      <c r="C165" s="49"/>
      <c r="D165" s="49"/>
      <c r="E165" s="76"/>
      <c r="F165" s="76"/>
      <c r="G165" s="76"/>
      <c r="I165" s="76"/>
      <c r="J165" s="455"/>
    </row>
    <row r="166" spans="1:10" ht="15.75" thickBot="1" x14ac:dyDescent="0.3">
      <c r="A166" s="1"/>
      <c r="B166" s="208" t="s">
        <v>105</v>
      </c>
      <c r="C166" s="4"/>
      <c r="D166" s="4"/>
      <c r="E166" s="101"/>
      <c r="F166" s="101"/>
      <c r="G166" s="101"/>
      <c r="I166" s="101"/>
      <c r="J166" s="460"/>
    </row>
    <row r="167" spans="1:10" ht="15.75" thickBot="1" x14ac:dyDescent="0.3">
      <c r="A167" s="1"/>
      <c r="B167" s="48"/>
      <c r="C167" s="49"/>
      <c r="D167" s="49"/>
      <c r="E167" s="103"/>
      <c r="F167" s="103"/>
      <c r="G167" s="103"/>
      <c r="I167" s="103"/>
      <c r="J167" s="449"/>
    </row>
    <row r="168" spans="1:10" ht="15.75" thickBot="1" x14ac:dyDescent="0.3">
      <c r="A168" s="1"/>
      <c r="B168" s="209" t="s">
        <v>56</v>
      </c>
      <c r="C168" s="4"/>
      <c r="D168" s="369" t="str">
        <f>D3</f>
        <v>BUDGET 2024</v>
      </c>
      <c r="E168" s="369" t="str">
        <f>E3</f>
        <v>Actual 2023</v>
      </c>
      <c r="F168" s="416" t="str">
        <f>F3</f>
        <v>ACTUAL 2022</v>
      </c>
      <c r="G168" s="416" t="str">
        <f>+G141</f>
        <v>ACTUAL 2021</v>
      </c>
      <c r="I168" s="235" t="str">
        <f>+I$3</f>
        <v>B 2024 vs Act 2023</v>
      </c>
      <c r="J168" s="451" t="str">
        <f>+J$3</f>
        <v>%</v>
      </c>
    </row>
    <row r="169" spans="1:10" x14ac:dyDescent="0.25">
      <c r="A169" s="1"/>
      <c r="B169" s="204" t="s">
        <v>106</v>
      </c>
      <c r="C169" s="3"/>
      <c r="D169" s="530">
        <v>269780</v>
      </c>
      <c r="E169" s="213">
        <v>269621.87</v>
      </c>
      <c r="F169" s="311">
        <f>+[6]Data!E169</f>
        <v>233809</v>
      </c>
      <c r="G169" s="311">
        <f>+[6]Data!G169</f>
        <v>188395</v>
      </c>
      <c r="I169" s="237">
        <f>E169-F169</f>
        <v>35812.869999999995</v>
      </c>
      <c r="J169" s="442">
        <f>+I169/F169</f>
        <v>0.15317147757357499</v>
      </c>
    </row>
    <row r="170" spans="1:10" x14ac:dyDescent="0.25">
      <c r="A170" s="1"/>
      <c r="B170" s="204" t="s">
        <v>107</v>
      </c>
      <c r="C170" s="3"/>
      <c r="D170" s="528">
        <v>74037</v>
      </c>
      <c r="E170" s="213">
        <v>76319.680000000008</v>
      </c>
      <c r="F170" s="311">
        <f>+[6]Data!E170</f>
        <v>55328</v>
      </c>
      <c r="G170" s="311">
        <f>+[6]Data!G170</f>
        <v>43291</v>
      </c>
      <c r="I170" s="237">
        <f>E170-F170</f>
        <v>20991.680000000008</v>
      </c>
      <c r="J170" s="442">
        <f>+I170/F170</f>
        <v>0.37940427993059583</v>
      </c>
    </row>
    <row r="171" spans="1:10" x14ac:dyDescent="0.25">
      <c r="A171" s="1"/>
      <c r="B171" s="204" t="s">
        <v>108</v>
      </c>
      <c r="C171" s="3"/>
      <c r="D171" s="533">
        <v>41120</v>
      </c>
      <c r="E171" s="213">
        <v>43827.47</v>
      </c>
      <c r="F171" s="311">
        <f>+[6]Data!E171</f>
        <v>48651</v>
      </c>
      <c r="G171" s="311">
        <f>+[6]Data!G171</f>
        <v>52006</v>
      </c>
      <c r="I171" s="246">
        <f>E171-F171</f>
        <v>-4823.5299999999988</v>
      </c>
      <c r="J171" s="444">
        <f>+I171/F171</f>
        <v>-9.9145546854124245E-2</v>
      </c>
    </row>
    <row r="172" spans="1:10" ht="15.75" thickBot="1" x14ac:dyDescent="0.3">
      <c r="A172" s="1"/>
      <c r="B172" s="206" t="s">
        <v>67</v>
      </c>
      <c r="C172" s="4"/>
      <c r="D172" s="223">
        <f>SUM(D169:D171)</f>
        <v>384937</v>
      </c>
      <c r="E172" s="228">
        <f>SUM(E169:E171)</f>
        <v>389769.02</v>
      </c>
      <c r="F172" s="343">
        <f>SUM(F169:F171)</f>
        <v>337788</v>
      </c>
      <c r="G172" s="343">
        <f>SUM(G169:G171)</f>
        <v>283692</v>
      </c>
      <c r="I172" s="241">
        <f>E172-F172</f>
        <v>51981.020000000019</v>
      </c>
      <c r="J172" s="445">
        <f>+I172/F172</f>
        <v>0.15388652053951005</v>
      </c>
    </row>
    <row r="173" spans="1:10" ht="15.75" thickBot="1" x14ac:dyDescent="0.3">
      <c r="A173" s="1"/>
      <c r="B173" s="48"/>
      <c r="C173" s="49"/>
      <c r="D173" s="49"/>
      <c r="E173" s="76"/>
      <c r="F173" s="76"/>
      <c r="G173" s="76"/>
      <c r="I173" s="76"/>
      <c r="J173" s="455"/>
    </row>
    <row r="174" spans="1:10" ht="15.75" thickBot="1" x14ac:dyDescent="0.3">
      <c r="A174" s="1"/>
      <c r="B174" s="208" t="s">
        <v>68</v>
      </c>
      <c r="C174" s="4"/>
      <c r="D174" s="4"/>
      <c r="E174" s="9"/>
      <c r="F174" s="9"/>
      <c r="G174" s="9"/>
      <c r="I174" s="9"/>
      <c r="J174" s="456"/>
    </row>
    <row r="175" spans="1:10" ht="15.75" thickBot="1" x14ac:dyDescent="0.3">
      <c r="A175" s="1"/>
      <c r="B175" s="220" t="s">
        <v>69</v>
      </c>
      <c r="C175" s="4"/>
      <c r="D175" s="217">
        <f>D172</f>
        <v>384937</v>
      </c>
      <c r="E175" s="217">
        <f>E172</f>
        <v>389769.02</v>
      </c>
      <c r="F175" s="218">
        <f>F172</f>
        <v>337788</v>
      </c>
      <c r="G175" s="219">
        <f>G172</f>
        <v>283692</v>
      </c>
      <c r="I175" s="464">
        <f>E175-F175</f>
        <v>51981.020000000019</v>
      </c>
      <c r="J175" s="465">
        <f>+I175/F175</f>
        <v>0.15388652053951005</v>
      </c>
    </row>
  </sheetData>
  <pageMargins left="0.11811023622047245" right="0.11811023622047245" top="0.15748031496062992" bottom="0.15748031496062992" header="0.31496062992125984" footer="0.31496062992125984"/>
  <pageSetup scale="85" orientation="portrait" r:id="rId1"/>
  <rowBreaks count="3" manualBreakCount="3">
    <brk id="52" max="16383" man="1"/>
    <brk id="109" max="16383" man="1"/>
    <brk id="16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F0B2F-0107-479B-9141-4A0153464CB2}">
  <sheetPr>
    <tabColor rgb="FFFFFF00"/>
  </sheetPr>
  <dimension ref="A1:IV33"/>
  <sheetViews>
    <sheetView workbookViewId="0">
      <selection activeCell="C15" sqref="C15"/>
    </sheetView>
  </sheetViews>
  <sheetFormatPr defaultColWidth="2" defaultRowHeight="12.75" x14ac:dyDescent="0.2"/>
  <cols>
    <col min="1" max="1" width="0.7109375" style="534" customWidth="1"/>
    <col min="2" max="2" width="13.42578125" style="534" customWidth="1"/>
    <col min="3" max="3" width="81" style="536" customWidth="1"/>
    <col min="4" max="4" width="20.85546875" style="536" customWidth="1"/>
    <col min="5" max="5" width="51.140625" style="538" customWidth="1"/>
    <col min="6" max="49" width="8.85546875" style="538" customWidth="1"/>
    <col min="50" max="244" width="8.85546875" style="536" customWidth="1"/>
    <col min="245" max="245" width="1" style="536" customWidth="1"/>
    <col min="246" max="246" width="12.140625" style="536" customWidth="1"/>
    <col min="247" max="247" width="52" style="536" customWidth="1"/>
    <col min="248" max="248" width="4.42578125" style="536" customWidth="1"/>
    <col min="249" max="249" width="19.42578125" style="536" customWidth="1"/>
    <col min="250" max="250" width="1.85546875" style="536" customWidth="1"/>
    <col min="251" max="251" width="14.140625" style="536" customWidth="1"/>
    <col min="252" max="252" width="2" style="536" customWidth="1"/>
    <col min="253" max="253" width="15" style="536" customWidth="1"/>
    <col min="254" max="254" width="1.5703125" style="536" customWidth="1"/>
    <col min="255" max="255" width="13.140625" style="536" customWidth="1"/>
    <col min="256" max="256" width="2" style="536"/>
    <col min="257" max="257" width="0.7109375" style="536" customWidth="1"/>
    <col min="258" max="258" width="13.42578125" style="536" customWidth="1"/>
    <col min="259" max="259" width="107.85546875" style="536" customWidth="1"/>
    <col min="260" max="260" width="22" style="536" customWidth="1"/>
    <col min="261" max="261" width="51.140625" style="536" customWidth="1"/>
    <col min="262" max="500" width="8.85546875" style="536" customWidth="1"/>
    <col min="501" max="501" width="1" style="536" customWidth="1"/>
    <col min="502" max="502" width="12.140625" style="536" customWidth="1"/>
    <col min="503" max="503" width="52" style="536" customWidth="1"/>
    <col min="504" max="504" width="4.42578125" style="536" customWidth="1"/>
    <col min="505" max="505" width="19.42578125" style="536" customWidth="1"/>
    <col min="506" max="506" width="1.85546875" style="536" customWidth="1"/>
    <col min="507" max="507" width="14.140625" style="536" customWidth="1"/>
    <col min="508" max="508" width="2" style="536"/>
    <col min="509" max="509" width="15" style="536" customWidth="1"/>
    <col min="510" max="510" width="1.5703125" style="536" customWidth="1"/>
    <col min="511" max="511" width="13.140625" style="536" customWidth="1"/>
    <col min="512" max="512" width="2" style="536"/>
    <col min="513" max="513" width="0.7109375" style="536" customWidth="1"/>
    <col min="514" max="514" width="13.42578125" style="536" customWidth="1"/>
    <col min="515" max="515" width="107.85546875" style="536" customWidth="1"/>
    <col min="516" max="516" width="22" style="536" customWidth="1"/>
    <col min="517" max="517" width="51.140625" style="536" customWidth="1"/>
    <col min="518" max="756" width="8.85546875" style="536" customWidth="1"/>
    <col min="757" max="757" width="1" style="536" customWidth="1"/>
    <col min="758" max="758" width="12.140625" style="536" customWidth="1"/>
    <col min="759" max="759" width="52" style="536" customWidth="1"/>
    <col min="760" max="760" width="4.42578125" style="536" customWidth="1"/>
    <col min="761" max="761" width="19.42578125" style="536" customWidth="1"/>
    <col min="762" max="762" width="1.85546875" style="536" customWidth="1"/>
    <col min="763" max="763" width="14.140625" style="536" customWidth="1"/>
    <col min="764" max="764" width="2" style="536"/>
    <col min="765" max="765" width="15" style="536" customWidth="1"/>
    <col min="766" max="766" width="1.5703125" style="536" customWidth="1"/>
    <col min="767" max="767" width="13.140625" style="536" customWidth="1"/>
    <col min="768" max="768" width="2" style="536"/>
    <col min="769" max="769" width="0.7109375" style="536" customWidth="1"/>
    <col min="770" max="770" width="13.42578125" style="536" customWidth="1"/>
    <col min="771" max="771" width="107.85546875" style="536" customWidth="1"/>
    <col min="772" max="772" width="22" style="536" customWidth="1"/>
    <col min="773" max="773" width="51.140625" style="536" customWidth="1"/>
    <col min="774" max="1012" width="8.85546875" style="536" customWidth="1"/>
    <col min="1013" max="1013" width="1" style="536" customWidth="1"/>
    <col min="1014" max="1014" width="12.140625" style="536" customWidth="1"/>
    <col min="1015" max="1015" width="52" style="536" customWidth="1"/>
    <col min="1016" max="1016" width="4.42578125" style="536" customWidth="1"/>
    <col min="1017" max="1017" width="19.42578125" style="536" customWidth="1"/>
    <col min="1018" max="1018" width="1.85546875" style="536" customWidth="1"/>
    <col min="1019" max="1019" width="14.140625" style="536" customWidth="1"/>
    <col min="1020" max="1020" width="2" style="536"/>
    <col min="1021" max="1021" width="15" style="536" customWidth="1"/>
    <col min="1022" max="1022" width="1.5703125" style="536" customWidth="1"/>
    <col min="1023" max="1023" width="13.140625" style="536" customWidth="1"/>
    <col min="1024" max="1024" width="2" style="536"/>
    <col min="1025" max="1025" width="0.7109375" style="536" customWidth="1"/>
    <col min="1026" max="1026" width="13.42578125" style="536" customWidth="1"/>
    <col min="1027" max="1027" width="107.85546875" style="536" customWidth="1"/>
    <col min="1028" max="1028" width="22" style="536" customWidth="1"/>
    <col min="1029" max="1029" width="51.140625" style="536" customWidth="1"/>
    <col min="1030" max="1268" width="8.85546875" style="536" customWidth="1"/>
    <col min="1269" max="1269" width="1" style="536" customWidth="1"/>
    <col min="1270" max="1270" width="12.140625" style="536" customWidth="1"/>
    <col min="1271" max="1271" width="52" style="536" customWidth="1"/>
    <col min="1272" max="1272" width="4.42578125" style="536" customWidth="1"/>
    <col min="1273" max="1273" width="19.42578125" style="536" customWidth="1"/>
    <col min="1274" max="1274" width="1.85546875" style="536" customWidth="1"/>
    <col min="1275" max="1275" width="14.140625" style="536" customWidth="1"/>
    <col min="1276" max="1276" width="2" style="536"/>
    <col min="1277" max="1277" width="15" style="536" customWidth="1"/>
    <col min="1278" max="1278" width="1.5703125" style="536" customWidth="1"/>
    <col min="1279" max="1279" width="13.140625" style="536" customWidth="1"/>
    <col min="1280" max="1280" width="2" style="536"/>
    <col min="1281" max="1281" width="0.7109375" style="536" customWidth="1"/>
    <col min="1282" max="1282" width="13.42578125" style="536" customWidth="1"/>
    <col min="1283" max="1283" width="107.85546875" style="536" customWidth="1"/>
    <col min="1284" max="1284" width="22" style="536" customWidth="1"/>
    <col min="1285" max="1285" width="51.140625" style="536" customWidth="1"/>
    <col min="1286" max="1524" width="8.85546875" style="536" customWidth="1"/>
    <col min="1525" max="1525" width="1" style="536" customWidth="1"/>
    <col min="1526" max="1526" width="12.140625" style="536" customWidth="1"/>
    <col min="1527" max="1527" width="52" style="536" customWidth="1"/>
    <col min="1528" max="1528" width="4.42578125" style="536" customWidth="1"/>
    <col min="1529" max="1529" width="19.42578125" style="536" customWidth="1"/>
    <col min="1530" max="1530" width="1.85546875" style="536" customWidth="1"/>
    <col min="1531" max="1531" width="14.140625" style="536" customWidth="1"/>
    <col min="1532" max="1532" width="2" style="536"/>
    <col min="1533" max="1533" width="15" style="536" customWidth="1"/>
    <col min="1534" max="1534" width="1.5703125" style="536" customWidth="1"/>
    <col min="1535" max="1535" width="13.140625" style="536" customWidth="1"/>
    <col min="1536" max="1536" width="2" style="536"/>
    <col min="1537" max="1537" width="0.7109375" style="536" customWidth="1"/>
    <col min="1538" max="1538" width="13.42578125" style="536" customWidth="1"/>
    <col min="1539" max="1539" width="107.85546875" style="536" customWidth="1"/>
    <col min="1540" max="1540" width="22" style="536" customWidth="1"/>
    <col min="1541" max="1541" width="51.140625" style="536" customWidth="1"/>
    <col min="1542" max="1780" width="8.85546875" style="536" customWidth="1"/>
    <col min="1781" max="1781" width="1" style="536" customWidth="1"/>
    <col min="1782" max="1782" width="12.140625" style="536" customWidth="1"/>
    <col min="1783" max="1783" width="52" style="536" customWidth="1"/>
    <col min="1784" max="1784" width="4.42578125" style="536" customWidth="1"/>
    <col min="1785" max="1785" width="19.42578125" style="536" customWidth="1"/>
    <col min="1786" max="1786" width="1.85546875" style="536" customWidth="1"/>
    <col min="1787" max="1787" width="14.140625" style="536" customWidth="1"/>
    <col min="1788" max="1788" width="2" style="536"/>
    <col min="1789" max="1789" width="15" style="536" customWidth="1"/>
    <col min="1790" max="1790" width="1.5703125" style="536" customWidth="1"/>
    <col min="1791" max="1791" width="13.140625" style="536" customWidth="1"/>
    <col min="1792" max="1792" width="2" style="536"/>
    <col min="1793" max="1793" width="0.7109375" style="536" customWidth="1"/>
    <col min="1794" max="1794" width="13.42578125" style="536" customWidth="1"/>
    <col min="1795" max="1795" width="107.85546875" style="536" customWidth="1"/>
    <col min="1796" max="1796" width="22" style="536" customWidth="1"/>
    <col min="1797" max="1797" width="51.140625" style="536" customWidth="1"/>
    <col min="1798" max="2036" width="8.85546875" style="536" customWidth="1"/>
    <col min="2037" max="2037" width="1" style="536" customWidth="1"/>
    <col min="2038" max="2038" width="12.140625" style="536" customWidth="1"/>
    <col min="2039" max="2039" width="52" style="536" customWidth="1"/>
    <col min="2040" max="2040" width="4.42578125" style="536" customWidth="1"/>
    <col min="2041" max="2041" width="19.42578125" style="536" customWidth="1"/>
    <col min="2042" max="2042" width="1.85546875" style="536" customWidth="1"/>
    <col min="2043" max="2043" width="14.140625" style="536" customWidth="1"/>
    <col min="2044" max="2044" width="2" style="536"/>
    <col min="2045" max="2045" width="15" style="536" customWidth="1"/>
    <col min="2046" max="2046" width="1.5703125" style="536" customWidth="1"/>
    <col min="2047" max="2047" width="13.140625" style="536" customWidth="1"/>
    <col min="2048" max="2048" width="2" style="536"/>
    <col min="2049" max="2049" width="0.7109375" style="536" customWidth="1"/>
    <col min="2050" max="2050" width="13.42578125" style="536" customWidth="1"/>
    <col min="2051" max="2051" width="107.85546875" style="536" customWidth="1"/>
    <col min="2052" max="2052" width="22" style="536" customWidth="1"/>
    <col min="2053" max="2053" width="51.140625" style="536" customWidth="1"/>
    <col min="2054" max="2292" width="8.85546875" style="536" customWidth="1"/>
    <col min="2293" max="2293" width="1" style="536" customWidth="1"/>
    <col min="2294" max="2294" width="12.140625" style="536" customWidth="1"/>
    <col min="2295" max="2295" width="52" style="536" customWidth="1"/>
    <col min="2296" max="2296" width="4.42578125" style="536" customWidth="1"/>
    <col min="2297" max="2297" width="19.42578125" style="536" customWidth="1"/>
    <col min="2298" max="2298" width="1.85546875" style="536" customWidth="1"/>
    <col min="2299" max="2299" width="14.140625" style="536" customWidth="1"/>
    <col min="2300" max="2300" width="2" style="536"/>
    <col min="2301" max="2301" width="15" style="536" customWidth="1"/>
    <col min="2302" max="2302" width="1.5703125" style="536" customWidth="1"/>
    <col min="2303" max="2303" width="13.140625" style="536" customWidth="1"/>
    <col min="2304" max="2304" width="2" style="536"/>
    <col min="2305" max="2305" width="0.7109375" style="536" customWidth="1"/>
    <col min="2306" max="2306" width="13.42578125" style="536" customWidth="1"/>
    <col min="2307" max="2307" width="107.85546875" style="536" customWidth="1"/>
    <col min="2308" max="2308" width="22" style="536" customWidth="1"/>
    <col min="2309" max="2309" width="51.140625" style="536" customWidth="1"/>
    <col min="2310" max="2548" width="8.85546875" style="536" customWidth="1"/>
    <col min="2549" max="2549" width="1" style="536" customWidth="1"/>
    <col min="2550" max="2550" width="12.140625" style="536" customWidth="1"/>
    <col min="2551" max="2551" width="52" style="536" customWidth="1"/>
    <col min="2552" max="2552" width="4.42578125" style="536" customWidth="1"/>
    <col min="2553" max="2553" width="19.42578125" style="536" customWidth="1"/>
    <col min="2554" max="2554" width="1.85546875" style="536" customWidth="1"/>
    <col min="2555" max="2555" width="14.140625" style="536" customWidth="1"/>
    <col min="2556" max="2556" width="2" style="536"/>
    <col min="2557" max="2557" width="15" style="536" customWidth="1"/>
    <col min="2558" max="2558" width="1.5703125" style="536" customWidth="1"/>
    <col min="2559" max="2559" width="13.140625" style="536" customWidth="1"/>
    <col min="2560" max="2560" width="2" style="536"/>
    <col min="2561" max="2561" width="0.7109375" style="536" customWidth="1"/>
    <col min="2562" max="2562" width="13.42578125" style="536" customWidth="1"/>
    <col min="2563" max="2563" width="107.85546875" style="536" customWidth="1"/>
    <col min="2564" max="2564" width="22" style="536" customWidth="1"/>
    <col min="2565" max="2565" width="51.140625" style="536" customWidth="1"/>
    <col min="2566" max="2804" width="8.85546875" style="536" customWidth="1"/>
    <col min="2805" max="2805" width="1" style="536" customWidth="1"/>
    <col min="2806" max="2806" width="12.140625" style="536" customWidth="1"/>
    <col min="2807" max="2807" width="52" style="536" customWidth="1"/>
    <col min="2808" max="2808" width="4.42578125" style="536" customWidth="1"/>
    <col min="2809" max="2809" width="19.42578125" style="536" customWidth="1"/>
    <col min="2810" max="2810" width="1.85546875" style="536" customWidth="1"/>
    <col min="2811" max="2811" width="14.140625" style="536" customWidth="1"/>
    <col min="2812" max="2812" width="2" style="536"/>
    <col min="2813" max="2813" width="15" style="536" customWidth="1"/>
    <col min="2814" max="2814" width="1.5703125" style="536" customWidth="1"/>
    <col min="2815" max="2815" width="13.140625" style="536" customWidth="1"/>
    <col min="2816" max="2816" width="2" style="536"/>
    <col min="2817" max="2817" width="0.7109375" style="536" customWidth="1"/>
    <col min="2818" max="2818" width="13.42578125" style="536" customWidth="1"/>
    <col min="2819" max="2819" width="107.85546875" style="536" customWidth="1"/>
    <col min="2820" max="2820" width="22" style="536" customWidth="1"/>
    <col min="2821" max="2821" width="51.140625" style="536" customWidth="1"/>
    <col min="2822" max="3060" width="8.85546875" style="536" customWidth="1"/>
    <col min="3061" max="3061" width="1" style="536" customWidth="1"/>
    <col min="3062" max="3062" width="12.140625" style="536" customWidth="1"/>
    <col min="3063" max="3063" width="52" style="536" customWidth="1"/>
    <col min="3064" max="3064" width="4.42578125" style="536" customWidth="1"/>
    <col min="3065" max="3065" width="19.42578125" style="536" customWidth="1"/>
    <col min="3066" max="3066" width="1.85546875" style="536" customWidth="1"/>
    <col min="3067" max="3067" width="14.140625" style="536" customWidth="1"/>
    <col min="3068" max="3068" width="2" style="536"/>
    <col min="3069" max="3069" width="15" style="536" customWidth="1"/>
    <col min="3070" max="3070" width="1.5703125" style="536" customWidth="1"/>
    <col min="3071" max="3071" width="13.140625" style="536" customWidth="1"/>
    <col min="3072" max="3072" width="2" style="536"/>
    <col min="3073" max="3073" width="0.7109375" style="536" customWidth="1"/>
    <col min="3074" max="3074" width="13.42578125" style="536" customWidth="1"/>
    <col min="3075" max="3075" width="107.85546875" style="536" customWidth="1"/>
    <col min="3076" max="3076" width="22" style="536" customWidth="1"/>
    <col min="3077" max="3077" width="51.140625" style="536" customWidth="1"/>
    <col min="3078" max="3316" width="8.85546875" style="536" customWidth="1"/>
    <col min="3317" max="3317" width="1" style="536" customWidth="1"/>
    <col min="3318" max="3318" width="12.140625" style="536" customWidth="1"/>
    <col min="3319" max="3319" width="52" style="536" customWidth="1"/>
    <col min="3320" max="3320" width="4.42578125" style="536" customWidth="1"/>
    <col min="3321" max="3321" width="19.42578125" style="536" customWidth="1"/>
    <col min="3322" max="3322" width="1.85546875" style="536" customWidth="1"/>
    <col min="3323" max="3323" width="14.140625" style="536" customWidth="1"/>
    <col min="3324" max="3324" width="2" style="536"/>
    <col min="3325" max="3325" width="15" style="536" customWidth="1"/>
    <col min="3326" max="3326" width="1.5703125" style="536" customWidth="1"/>
    <col min="3327" max="3327" width="13.140625" style="536" customWidth="1"/>
    <col min="3328" max="3328" width="2" style="536"/>
    <col min="3329" max="3329" width="0.7109375" style="536" customWidth="1"/>
    <col min="3330" max="3330" width="13.42578125" style="536" customWidth="1"/>
    <col min="3331" max="3331" width="107.85546875" style="536" customWidth="1"/>
    <col min="3332" max="3332" width="22" style="536" customWidth="1"/>
    <col min="3333" max="3333" width="51.140625" style="536" customWidth="1"/>
    <col min="3334" max="3572" width="8.85546875" style="536" customWidth="1"/>
    <col min="3573" max="3573" width="1" style="536" customWidth="1"/>
    <col min="3574" max="3574" width="12.140625" style="536" customWidth="1"/>
    <col min="3575" max="3575" width="52" style="536" customWidth="1"/>
    <col min="3576" max="3576" width="4.42578125" style="536" customWidth="1"/>
    <col min="3577" max="3577" width="19.42578125" style="536" customWidth="1"/>
    <col min="3578" max="3578" width="1.85546875" style="536" customWidth="1"/>
    <col min="3579" max="3579" width="14.140625" style="536" customWidth="1"/>
    <col min="3580" max="3580" width="2" style="536"/>
    <col min="3581" max="3581" width="15" style="536" customWidth="1"/>
    <col min="3582" max="3582" width="1.5703125" style="536" customWidth="1"/>
    <col min="3583" max="3583" width="13.140625" style="536" customWidth="1"/>
    <col min="3584" max="3584" width="2" style="536"/>
    <col min="3585" max="3585" width="0.7109375" style="536" customWidth="1"/>
    <col min="3586" max="3586" width="13.42578125" style="536" customWidth="1"/>
    <col min="3587" max="3587" width="107.85546875" style="536" customWidth="1"/>
    <col min="3588" max="3588" width="22" style="536" customWidth="1"/>
    <col min="3589" max="3589" width="51.140625" style="536" customWidth="1"/>
    <col min="3590" max="3828" width="8.85546875" style="536" customWidth="1"/>
    <col min="3829" max="3829" width="1" style="536" customWidth="1"/>
    <col min="3830" max="3830" width="12.140625" style="536" customWidth="1"/>
    <col min="3831" max="3831" width="52" style="536" customWidth="1"/>
    <col min="3832" max="3832" width="4.42578125" style="536" customWidth="1"/>
    <col min="3833" max="3833" width="19.42578125" style="536" customWidth="1"/>
    <col min="3834" max="3834" width="1.85546875" style="536" customWidth="1"/>
    <col min="3835" max="3835" width="14.140625" style="536" customWidth="1"/>
    <col min="3836" max="3836" width="2" style="536"/>
    <col min="3837" max="3837" width="15" style="536" customWidth="1"/>
    <col min="3838" max="3838" width="1.5703125" style="536" customWidth="1"/>
    <col min="3839" max="3839" width="13.140625" style="536" customWidth="1"/>
    <col min="3840" max="3840" width="2" style="536"/>
    <col min="3841" max="3841" width="0.7109375" style="536" customWidth="1"/>
    <col min="3842" max="3842" width="13.42578125" style="536" customWidth="1"/>
    <col min="3843" max="3843" width="107.85546875" style="536" customWidth="1"/>
    <col min="3844" max="3844" width="22" style="536" customWidth="1"/>
    <col min="3845" max="3845" width="51.140625" style="536" customWidth="1"/>
    <col min="3846" max="4084" width="8.85546875" style="536" customWidth="1"/>
    <col min="4085" max="4085" width="1" style="536" customWidth="1"/>
    <col min="4086" max="4086" width="12.140625" style="536" customWidth="1"/>
    <col min="4087" max="4087" width="52" style="536" customWidth="1"/>
    <col min="4088" max="4088" width="4.42578125" style="536" customWidth="1"/>
    <col min="4089" max="4089" width="19.42578125" style="536" customWidth="1"/>
    <col min="4090" max="4090" width="1.85546875" style="536" customWidth="1"/>
    <col min="4091" max="4091" width="14.140625" style="536" customWidth="1"/>
    <col min="4092" max="4092" width="2" style="536"/>
    <col min="4093" max="4093" width="15" style="536" customWidth="1"/>
    <col min="4094" max="4094" width="1.5703125" style="536" customWidth="1"/>
    <col min="4095" max="4095" width="13.140625" style="536" customWidth="1"/>
    <col min="4096" max="4096" width="2" style="536"/>
    <col min="4097" max="4097" width="0.7109375" style="536" customWidth="1"/>
    <col min="4098" max="4098" width="13.42578125" style="536" customWidth="1"/>
    <col min="4099" max="4099" width="107.85546875" style="536" customWidth="1"/>
    <col min="4100" max="4100" width="22" style="536" customWidth="1"/>
    <col min="4101" max="4101" width="51.140625" style="536" customWidth="1"/>
    <col min="4102" max="4340" width="8.85546875" style="536" customWidth="1"/>
    <col min="4341" max="4341" width="1" style="536" customWidth="1"/>
    <col min="4342" max="4342" width="12.140625" style="536" customWidth="1"/>
    <col min="4343" max="4343" width="52" style="536" customWidth="1"/>
    <col min="4344" max="4344" width="4.42578125" style="536" customWidth="1"/>
    <col min="4345" max="4345" width="19.42578125" style="536" customWidth="1"/>
    <col min="4346" max="4346" width="1.85546875" style="536" customWidth="1"/>
    <col min="4347" max="4347" width="14.140625" style="536" customWidth="1"/>
    <col min="4348" max="4348" width="2" style="536"/>
    <col min="4349" max="4349" width="15" style="536" customWidth="1"/>
    <col min="4350" max="4350" width="1.5703125" style="536" customWidth="1"/>
    <col min="4351" max="4351" width="13.140625" style="536" customWidth="1"/>
    <col min="4352" max="4352" width="2" style="536"/>
    <col min="4353" max="4353" width="0.7109375" style="536" customWidth="1"/>
    <col min="4354" max="4354" width="13.42578125" style="536" customWidth="1"/>
    <col min="4355" max="4355" width="107.85546875" style="536" customWidth="1"/>
    <col min="4356" max="4356" width="22" style="536" customWidth="1"/>
    <col min="4357" max="4357" width="51.140625" style="536" customWidth="1"/>
    <col min="4358" max="4596" width="8.85546875" style="536" customWidth="1"/>
    <col min="4597" max="4597" width="1" style="536" customWidth="1"/>
    <col min="4598" max="4598" width="12.140625" style="536" customWidth="1"/>
    <col min="4599" max="4599" width="52" style="536" customWidth="1"/>
    <col min="4600" max="4600" width="4.42578125" style="536" customWidth="1"/>
    <col min="4601" max="4601" width="19.42578125" style="536" customWidth="1"/>
    <col min="4602" max="4602" width="1.85546875" style="536" customWidth="1"/>
    <col min="4603" max="4603" width="14.140625" style="536" customWidth="1"/>
    <col min="4604" max="4604" width="2" style="536"/>
    <col min="4605" max="4605" width="15" style="536" customWidth="1"/>
    <col min="4606" max="4606" width="1.5703125" style="536" customWidth="1"/>
    <col min="4607" max="4607" width="13.140625" style="536" customWidth="1"/>
    <col min="4608" max="4608" width="2" style="536"/>
    <col min="4609" max="4609" width="0.7109375" style="536" customWidth="1"/>
    <col min="4610" max="4610" width="13.42578125" style="536" customWidth="1"/>
    <col min="4611" max="4611" width="107.85546875" style="536" customWidth="1"/>
    <col min="4612" max="4612" width="22" style="536" customWidth="1"/>
    <col min="4613" max="4613" width="51.140625" style="536" customWidth="1"/>
    <col min="4614" max="4852" width="8.85546875" style="536" customWidth="1"/>
    <col min="4853" max="4853" width="1" style="536" customWidth="1"/>
    <col min="4854" max="4854" width="12.140625" style="536" customWidth="1"/>
    <col min="4855" max="4855" width="52" style="536" customWidth="1"/>
    <col min="4856" max="4856" width="4.42578125" style="536" customWidth="1"/>
    <col min="4857" max="4857" width="19.42578125" style="536" customWidth="1"/>
    <col min="4858" max="4858" width="1.85546875" style="536" customWidth="1"/>
    <col min="4859" max="4859" width="14.140625" style="536" customWidth="1"/>
    <col min="4860" max="4860" width="2" style="536"/>
    <col min="4861" max="4861" width="15" style="536" customWidth="1"/>
    <col min="4862" max="4862" width="1.5703125" style="536" customWidth="1"/>
    <col min="4863" max="4863" width="13.140625" style="536" customWidth="1"/>
    <col min="4864" max="4864" width="2" style="536"/>
    <col min="4865" max="4865" width="0.7109375" style="536" customWidth="1"/>
    <col min="4866" max="4866" width="13.42578125" style="536" customWidth="1"/>
    <col min="4867" max="4867" width="107.85546875" style="536" customWidth="1"/>
    <col min="4868" max="4868" width="22" style="536" customWidth="1"/>
    <col min="4869" max="4869" width="51.140625" style="536" customWidth="1"/>
    <col min="4870" max="5108" width="8.85546875" style="536" customWidth="1"/>
    <col min="5109" max="5109" width="1" style="536" customWidth="1"/>
    <col min="5110" max="5110" width="12.140625" style="536" customWidth="1"/>
    <col min="5111" max="5111" width="52" style="536" customWidth="1"/>
    <col min="5112" max="5112" width="4.42578125" style="536" customWidth="1"/>
    <col min="5113" max="5113" width="19.42578125" style="536" customWidth="1"/>
    <col min="5114" max="5114" width="1.85546875" style="536" customWidth="1"/>
    <col min="5115" max="5115" width="14.140625" style="536" customWidth="1"/>
    <col min="5116" max="5116" width="2" style="536"/>
    <col min="5117" max="5117" width="15" style="536" customWidth="1"/>
    <col min="5118" max="5118" width="1.5703125" style="536" customWidth="1"/>
    <col min="5119" max="5119" width="13.140625" style="536" customWidth="1"/>
    <col min="5120" max="5120" width="2" style="536"/>
    <col min="5121" max="5121" width="0.7109375" style="536" customWidth="1"/>
    <col min="5122" max="5122" width="13.42578125" style="536" customWidth="1"/>
    <col min="5123" max="5123" width="107.85546875" style="536" customWidth="1"/>
    <col min="5124" max="5124" width="22" style="536" customWidth="1"/>
    <col min="5125" max="5125" width="51.140625" style="536" customWidth="1"/>
    <col min="5126" max="5364" width="8.85546875" style="536" customWidth="1"/>
    <col min="5365" max="5365" width="1" style="536" customWidth="1"/>
    <col min="5366" max="5366" width="12.140625" style="536" customWidth="1"/>
    <col min="5367" max="5367" width="52" style="536" customWidth="1"/>
    <col min="5368" max="5368" width="4.42578125" style="536" customWidth="1"/>
    <col min="5369" max="5369" width="19.42578125" style="536" customWidth="1"/>
    <col min="5370" max="5370" width="1.85546875" style="536" customWidth="1"/>
    <col min="5371" max="5371" width="14.140625" style="536" customWidth="1"/>
    <col min="5372" max="5372" width="2" style="536"/>
    <col min="5373" max="5373" width="15" style="536" customWidth="1"/>
    <col min="5374" max="5374" width="1.5703125" style="536" customWidth="1"/>
    <col min="5375" max="5375" width="13.140625" style="536" customWidth="1"/>
    <col min="5376" max="5376" width="2" style="536"/>
    <col min="5377" max="5377" width="0.7109375" style="536" customWidth="1"/>
    <col min="5378" max="5378" width="13.42578125" style="536" customWidth="1"/>
    <col min="5379" max="5379" width="107.85546875" style="536" customWidth="1"/>
    <col min="5380" max="5380" width="22" style="536" customWidth="1"/>
    <col min="5381" max="5381" width="51.140625" style="536" customWidth="1"/>
    <col min="5382" max="5620" width="8.85546875" style="536" customWidth="1"/>
    <col min="5621" max="5621" width="1" style="536" customWidth="1"/>
    <col min="5622" max="5622" width="12.140625" style="536" customWidth="1"/>
    <col min="5623" max="5623" width="52" style="536" customWidth="1"/>
    <col min="5624" max="5624" width="4.42578125" style="536" customWidth="1"/>
    <col min="5625" max="5625" width="19.42578125" style="536" customWidth="1"/>
    <col min="5626" max="5626" width="1.85546875" style="536" customWidth="1"/>
    <col min="5627" max="5627" width="14.140625" style="536" customWidth="1"/>
    <col min="5628" max="5628" width="2" style="536"/>
    <col min="5629" max="5629" width="15" style="536" customWidth="1"/>
    <col min="5630" max="5630" width="1.5703125" style="536" customWidth="1"/>
    <col min="5631" max="5631" width="13.140625" style="536" customWidth="1"/>
    <col min="5632" max="5632" width="2" style="536"/>
    <col min="5633" max="5633" width="0.7109375" style="536" customWidth="1"/>
    <col min="5634" max="5634" width="13.42578125" style="536" customWidth="1"/>
    <col min="5635" max="5635" width="107.85546875" style="536" customWidth="1"/>
    <col min="5636" max="5636" width="22" style="536" customWidth="1"/>
    <col min="5637" max="5637" width="51.140625" style="536" customWidth="1"/>
    <col min="5638" max="5876" width="8.85546875" style="536" customWidth="1"/>
    <col min="5877" max="5877" width="1" style="536" customWidth="1"/>
    <col min="5878" max="5878" width="12.140625" style="536" customWidth="1"/>
    <col min="5879" max="5879" width="52" style="536" customWidth="1"/>
    <col min="5880" max="5880" width="4.42578125" style="536" customWidth="1"/>
    <col min="5881" max="5881" width="19.42578125" style="536" customWidth="1"/>
    <col min="5882" max="5882" width="1.85546875" style="536" customWidth="1"/>
    <col min="5883" max="5883" width="14.140625" style="536" customWidth="1"/>
    <col min="5884" max="5884" width="2" style="536"/>
    <col min="5885" max="5885" width="15" style="536" customWidth="1"/>
    <col min="5886" max="5886" width="1.5703125" style="536" customWidth="1"/>
    <col min="5887" max="5887" width="13.140625" style="536" customWidth="1"/>
    <col min="5888" max="5888" width="2" style="536"/>
    <col min="5889" max="5889" width="0.7109375" style="536" customWidth="1"/>
    <col min="5890" max="5890" width="13.42578125" style="536" customWidth="1"/>
    <col min="5891" max="5891" width="107.85546875" style="536" customWidth="1"/>
    <col min="5892" max="5892" width="22" style="536" customWidth="1"/>
    <col min="5893" max="5893" width="51.140625" style="536" customWidth="1"/>
    <col min="5894" max="6132" width="8.85546875" style="536" customWidth="1"/>
    <col min="6133" max="6133" width="1" style="536" customWidth="1"/>
    <col min="6134" max="6134" width="12.140625" style="536" customWidth="1"/>
    <col min="6135" max="6135" width="52" style="536" customWidth="1"/>
    <col min="6136" max="6136" width="4.42578125" style="536" customWidth="1"/>
    <col min="6137" max="6137" width="19.42578125" style="536" customWidth="1"/>
    <col min="6138" max="6138" width="1.85546875" style="536" customWidth="1"/>
    <col min="6139" max="6139" width="14.140625" style="536" customWidth="1"/>
    <col min="6140" max="6140" width="2" style="536"/>
    <col min="6141" max="6141" width="15" style="536" customWidth="1"/>
    <col min="6142" max="6142" width="1.5703125" style="536" customWidth="1"/>
    <col min="6143" max="6143" width="13.140625" style="536" customWidth="1"/>
    <col min="6144" max="6144" width="2" style="536"/>
    <col min="6145" max="6145" width="0.7109375" style="536" customWidth="1"/>
    <col min="6146" max="6146" width="13.42578125" style="536" customWidth="1"/>
    <col min="6147" max="6147" width="107.85546875" style="536" customWidth="1"/>
    <col min="6148" max="6148" width="22" style="536" customWidth="1"/>
    <col min="6149" max="6149" width="51.140625" style="536" customWidth="1"/>
    <col min="6150" max="6388" width="8.85546875" style="536" customWidth="1"/>
    <col min="6389" max="6389" width="1" style="536" customWidth="1"/>
    <col min="6390" max="6390" width="12.140625" style="536" customWidth="1"/>
    <col min="6391" max="6391" width="52" style="536" customWidth="1"/>
    <col min="6392" max="6392" width="4.42578125" style="536" customWidth="1"/>
    <col min="6393" max="6393" width="19.42578125" style="536" customWidth="1"/>
    <col min="6394" max="6394" width="1.85546875" style="536" customWidth="1"/>
    <col min="6395" max="6395" width="14.140625" style="536" customWidth="1"/>
    <col min="6396" max="6396" width="2" style="536"/>
    <col min="6397" max="6397" width="15" style="536" customWidth="1"/>
    <col min="6398" max="6398" width="1.5703125" style="536" customWidth="1"/>
    <col min="6399" max="6399" width="13.140625" style="536" customWidth="1"/>
    <col min="6400" max="6400" width="2" style="536"/>
    <col min="6401" max="6401" width="0.7109375" style="536" customWidth="1"/>
    <col min="6402" max="6402" width="13.42578125" style="536" customWidth="1"/>
    <col min="6403" max="6403" width="107.85546875" style="536" customWidth="1"/>
    <col min="6404" max="6404" width="22" style="536" customWidth="1"/>
    <col min="6405" max="6405" width="51.140625" style="536" customWidth="1"/>
    <col min="6406" max="6644" width="8.85546875" style="536" customWidth="1"/>
    <col min="6645" max="6645" width="1" style="536" customWidth="1"/>
    <col min="6646" max="6646" width="12.140625" style="536" customWidth="1"/>
    <col min="6647" max="6647" width="52" style="536" customWidth="1"/>
    <col min="6648" max="6648" width="4.42578125" style="536" customWidth="1"/>
    <col min="6649" max="6649" width="19.42578125" style="536" customWidth="1"/>
    <col min="6650" max="6650" width="1.85546875" style="536" customWidth="1"/>
    <col min="6651" max="6651" width="14.140625" style="536" customWidth="1"/>
    <col min="6652" max="6652" width="2" style="536"/>
    <col min="6653" max="6653" width="15" style="536" customWidth="1"/>
    <col min="6654" max="6654" width="1.5703125" style="536" customWidth="1"/>
    <col min="6655" max="6655" width="13.140625" style="536" customWidth="1"/>
    <col min="6656" max="6656" width="2" style="536"/>
    <col min="6657" max="6657" width="0.7109375" style="536" customWidth="1"/>
    <col min="6658" max="6658" width="13.42578125" style="536" customWidth="1"/>
    <col min="6659" max="6659" width="107.85546875" style="536" customWidth="1"/>
    <col min="6660" max="6660" width="22" style="536" customWidth="1"/>
    <col min="6661" max="6661" width="51.140625" style="536" customWidth="1"/>
    <col min="6662" max="6900" width="8.85546875" style="536" customWidth="1"/>
    <col min="6901" max="6901" width="1" style="536" customWidth="1"/>
    <col min="6902" max="6902" width="12.140625" style="536" customWidth="1"/>
    <col min="6903" max="6903" width="52" style="536" customWidth="1"/>
    <col min="6904" max="6904" width="4.42578125" style="536" customWidth="1"/>
    <col min="6905" max="6905" width="19.42578125" style="536" customWidth="1"/>
    <col min="6906" max="6906" width="1.85546875" style="536" customWidth="1"/>
    <col min="6907" max="6907" width="14.140625" style="536" customWidth="1"/>
    <col min="6908" max="6908" width="2" style="536"/>
    <col min="6909" max="6909" width="15" style="536" customWidth="1"/>
    <col min="6910" max="6910" width="1.5703125" style="536" customWidth="1"/>
    <col min="6911" max="6911" width="13.140625" style="536" customWidth="1"/>
    <col min="6912" max="6912" width="2" style="536"/>
    <col min="6913" max="6913" width="0.7109375" style="536" customWidth="1"/>
    <col min="6914" max="6914" width="13.42578125" style="536" customWidth="1"/>
    <col min="6915" max="6915" width="107.85546875" style="536" customWidth="1"/>
    <col min="6916" max="6916" width="22" style="536" customWidth="1"/>
    <col min="6917" max="6917" width="51.140625" style="536" customWidth="1"/>
    <col min="6918" max="7156" width="8.85546875" style="536" customWidth="1"/>
    <col min="7157" max="7157" width="1" style="536" customWidth="1"/>
    <col min="7158" max="7158" width="12.140625" style="536" customWidth="1"/>
    <col min="7159" max="7159" width="52" style="536" customWidth="1"/>
    <col min="7160" max="7160" width="4.42578125" style="536" customWidth="1"/>
    <col min="7161" max="7161" width="19.42578125" style="536" customWidth="1"/>
    <col min="7162" max="7162" width="1.85546875" style="536" customWidth="1"/>
    <col min="7163" max="7163" width="14.140625" style="536" customWidth="1"/>
    <col min="7164" max="7164" width="2" style="536"/>
    <col min="7165" max="7165" width="15" style="536" customWidth="1"/>
    <col min="7166" max="7166" width="1.5703125" style="536" customWidth="1"/>
    <col min="7167" max="7167" width="13.140625" style="536" customWidth="1"/>
    <col min="7168" max="7168" width="2" style="536"/>
    <col min="7169" max="7169" width="0.7109375" style="536" customWidth="1"/>
    <col min="7170" max="7170" width="13.42578125" style="536" customWidth="1"/>
    <col min="7171" max="7171" width="107.85546875" style="536" customWidth="1"/>
    <col min="7172" max="7172" width="22" style="536" customWidth="1"/>
    <col min="7173" max="7173" width="51.140625" style="536" customWidth="1"/>
    <col min="7174" max="7412" width="8.85546875" style="536" customWidth="1"/>
    <col min="7413" max="7413" width="1" style="536" customWidth="1"/>
    <col min="7414" max="7414" width="12.140625" style="536" customWidth="1"/>
    <col min="7415" max="7415" width="52" style="536" customWidth="1"/>
    <col min="7416" max="7416" width="4.42578125" style="536" customWidth="1"/>
    <col min="7417" max="7417" width="19.42578125" style="536" customWidth="1"/>
    <col min="7418" max="7418" width="1.85546875" style="536" customWidth="1"/>
    <col min="7419" max="7419" width="14.140625" style="536" customWidth="1"/>
    <col min="7420" max="7420" width="2" style="536"/>
    <col min="7421" max="7421" width="15" style="536" customWidth="1"/>
    <col min="7422" max="7422" width="1.5703125" style="536" customWidth="1"/>
    <col min="7423" max="7423" width="13.140625" style="536" customWidth="1"/>
    <col min="7424" max="7424" width="2" style="536"/>
    <col min="7425" max="7425" width="0.7109375" style="536" customWidth="1"/>
    <col min="7426" max="7426" width="13.42578125" style="536" customWidth="1"/>
    <col min="7427" max="7427" width="107.85546875" style="536" customWidth="1"/>
    <col min="7428" max="7428" width="22" style="536" customWidth="1"/>
    <col min="7429" max="7429" width="51.140625" style="536" customWidth="1"/>
    <col min="7430" max="7668" width="8.85546875" style="536" customWidth="1"/>
    <col min="7669" max="7669" width="1" style="536" customWidth="1"/>
    <col min="7670" max="7670" width="12.140625" style="536" customWidth="1"/>
    <col min="7671" max="7671" width="52" style="536" customWidth="1"/>
    <col min="7672" max="7672" width="4.42578125" style="536" customWidth="1"/>
    <col min="7673" max="7673" width="19.42578125" style="536" customWidth="1"/>
    <col min="7674" max="7674" width="1.85546875" style="536" customWidth="1"/>
    <col min="7675" max="7675" width="14.140625" style="536" customWidth="1"/>
    <col min="7676" max="7676" width="2" style="536"/>
    <col min="7677" max="7677" width="15" style="536" customWidth="1"/>
    <col min="7678" max="7678" width="1.5703125" style="536" customWidth="1"/>
    <col min="7679" max="7679" width="13.140625" style="536" customWidth="1"/>
    <col min="7680" max="7680" width="2" style="536"/>
    <col min="7681" max="7681" width="0.7109375" style="536" customWidth="1"/>
    <col min="7682" max="7682" width="13.42578125" style="536" customWidth="1"/>
    <col min="7683" max="7683" width="107.85546875" style="536" customWidth="1"/>
    <col min="7684" max="7684" width="22" style="536" customWidth="1"/>
    <col min="7685" max="7685" width="51.140625" style="536" customWidth="1"/>
    <col min="7686" max="7924" width="8.85546875" style="536" customWidth="1"/>
    <col min="7925" max="7925" width="1" style="536" customWidth="1"/>
    <col min="7926" max="7926" width="12.140625" style="536" customWidth="1"/>
    <col min="7927" max="7927" width="52" style="536" customWidth="1"/>
    <col min="7928" max="7928" width="4.42578125" style="536" customWidth="1"/>
    <col min="7929" max="7929" width="19.42578125" style="536" customWidth="1"/>
    <col min="7930" max="7930" width="1.85546875" style="536" customWidth="1"/>
    <col min="7931" max="7931" width="14.140625" style="536" customWidth="1"/>
    <col min="7932" max="7932" width="2" style="536"/>
    <col min="7933" max="7933" width="15" style="536" customWidth="1"/>
    <col min="7934" max="7934" width="1.5703125" style="536" customWidth="1"/>
    <col min="7935" max="7935" width="13.140625" style="536" customWidth="1"/>
    <col min="7936" max="7936" width="2" style="536"/>
    <col min="7937" max="7937" width="0.7109375" style="536" customWidth="1"/>
    <col min="7938" max="7938" width="13.42578125" style="536" customWidth="1"/>
    <col min="7939" max="7939" width="107.85546875" style="536" customWidth="1"/>
    <col min="7940" max="7940" width="22" style="536" customWidth="1"/>
    <col min="7941" max="7941" width="51.140625" style="536" customWidth="1"/>
    <col min="7942" max="8180" width="8.85546875" style="536" customWidth="1"/>
    <col min="8181" max="8181" width="1" style="536" customWidth="1"/>
    <col min="8182" max="8182" width="12.140625" style="536" customWidth="1"/>
    <col min="8183" max="8183" width="52" style="536" customWidth="1"/>
    <col min="8184" max="8184" width="4.42578125" style="536" customWidth="1"/>
    <col min="8185" max="8185" width="19.42578125" style="536" customWidth="1"/>
    <col min="8186" max="8186" width="1.85546875" style="536" customWidth="1"/>
    <col min="8187" max="8187" width="14.140625" style="536" customWidth="1"/>
    <col min="8188" max="8188" width="2" style="536"/>
    <col min="8189" max="8189" width="15" style="536" customWidth="1"/>
    <col min="8190" max="8190" width="1.5703125" style="536" customWidth="1"/>
    <col min="8191" max="8191" width="13.140625" style="536" customWidth="1"/>
    <col min="8192" max="8192" width="2" style="536"/>
    <col min="8193" max="8193" width="0.7109375" style="536" customWidth="1"/>
    <col min="8194" max="8194" width="13.42578125" style="536" customWidth="1"/>
    <col min="8195" max="8195" width="107.85546875" style="536" customWidth="1"/>
    <col min="8196" max="8196" width="22" style="536" customWidth="1"/>
    <col min="8197" max="8197" width="51.140625" style="536" customWidth="1"/>
    <col min="8198" max="8436" width="8.85546875" style="536" customWidth="1"/>
    <col min="8437" max="8437" width="1" style="536" customWidth="1"/>
    <col min="8438" max="8438" width="12.140625" style="536" customWidth="1"/>
    <col min="8439" max="8439" width="52" style="536" customWidth="1"/>
    <col min="8440" max="8440" width="4.42578125" style="536" customWidth="1"/>
    <col min="8441" max="8441" width="19.42578125" style="536" customWidth="1"/>
    <col min="8442" max="8442" width="1.85546875" style="536" customWidth="1"/>
    <col min="8443" max="8443" width="14.140625" style="536" customWidth="1"/>
    <col min="8444" max="8444" width="2" style="536"/>
    <col min="8445" max="8445" width="15" style="536" customWidth="1"/>
    <col min="8446" max="8446" width="1.5703125" style="536" customWidth="1"/>
    <col min="8447" max="8447" width="13.140625" style="536" customWidth="1"/>
    <col min="8448" max="8448" width="2" style="536"/>
    <col min="8449" max="8449" width="0.7109375" style="536" customWidth="1"/>
    <col min="8450" max="8450" width="13.42578125" style="536" customWidth="1"/>
    <col min="8451" max="8451" width="107.85546875" style="536" customWidth="1"/>
    <col min="8452" max="8452" width="22" style="536" customWidth="1"/>
    <col min="8453" max="8453" width="51.140625" style="536" customWidth="1"/>
    <col min="8454" max="8692" width="8.85546875" style="536" customWidth="1"/>
    <col min="8693" max="8693" width="1" style="536" customWidth="1"/>
    <col min="8694" max="8694" width="12.140625" style="536" customWidth="1"/>
    <col min="8695" max="8695" width="52" style="536" customWidth="1"/>
    <col min="8696" max="8696" width="4.42578125" style="536" customWidth="1"/>
    <col min="8697" max="8697" width="19.42578125" style="536" customWidth="1"/>
    <col min="8698" max="8698" width="1.85546875" style="536" customWidth="1"/>
    <col min="8699" max="8699" width="14.140625" style="536" customWidth="1"/>
    <col min="8700" max="8700" width="2" style="536"/>
    <col min="8701" max="8701" width="15" style="536" customWidth="1"/>
    <col min="8702" max="8702" width="1.5703125" style="536" customWidth="1"/>
    <col min="8703" max="8703" width="13.140625" style="536" customWidth="1"/>
    <col min="8704" max="8704" width="2" style="536"/>
    <col min="8705" max="8705" width="0.7109375" style="536" customWidth="1"/>
    <col min="8706" max="8706" width="13.42578125" style="536" customWidth="1"/>
    <col min="8707" max="8707" width="107.85546875" style="536" customWidth="1"/>
    <col min="8708" max="8708" width="22" style="536" customWidth="1"/>
    <col min="8709" max="8709" width="51.140625" style="536" customWidth="1"/>
    <col min="8710" max="8948" width="8.85546875" style="536" customWidth="1"/>
    <col min="8949" max="8949" width="1" style="536" customWidth="1"/>
    <col min="8950" max="8950" width="12.140625" style="536" customWidth="1"/>
    <col min="8951" max="8951" width="52" style="536" customWidth="1"/>
    <col min="8952" max="8952" width="4.42578125" style="536" customWidth="1"/>
    <col min="8953" max="8953" width="19.42578125" style="536" customWidth="1"/>
    <col min="8954" max="8954" width="1.85546875" style="536" customWidth="1"/>
    <col min="8955" max="8955" width="14.140625" style="536" customWidth="1"/>
    <col min="8956" max="8956" width="2" style="536"/>
    <col min="8957" max="8957" width="15" style="536" customWidth="1"/>
    <col min="8958" max="8958" width="1.5703125" style="536" customWidth="1"/>
    <col min="8959" max="8959" width="13.140625" style="536" customWidth="1"/>
    <col min="8960" max="8960" width="2" style="536"/>
    <col min="8961" max="8961" width="0.7109375" style="536" customWidth="1"/>
    <col min="8962" max="8962" width="13.42578125" style="536" customWidth="1"/>
    <col min="8963" max="8963" width="107.85546875" style="536" customWidth="1"/>
    <col min="8964" max="8964" width="22" style="536" customWidth="1"/>
    <col min="8965" max="8965" width="51.140625" style="536" customWidth="1"/>
    <col min="8966" max="9204" width="8.85546875" style="536" customWidth="1"/>
    <col min="9205" max="9205" width="1" style="536" customWidth="1"/>
    <col min="9206" max="9206" width="12.140625" style="536" customWidth="1"/>
    <col min="9207" max="9207" width="52" style="536" customWidth="1"/>
    <col min="9208" max="9208" width="4.42578125" style="536" customWidth="1"/>
    <col min="9209" max="9209" width="19.42578125" style="536" customWidth="1"/>
    <col min="9210" max="9210" width="1.85546875" style="536" customWidth="1"/>
    <col min="9211" max="9211" width="14.140625" style="536" customWidth="1"/>
    <col min="9212" max="9212" width="2" style="536"/>
    <col min="9213" max="9213" width="15" style="536" customWidth="1"/>
    <col min="9214" max="9214" width="1.5703125" style="536" customWidth="1"/>
    <col min="9215" max="9215" width="13.140625" style="536" customWidth="1"/>
    <col min="9216" max="9216" width="2" style="536"/>
    <col min="9217" max="9217" width="0.7109375" style="536" customWidth="1"/>
    <col min="9218" max="9218" width="13.42578125" style="536" customWidth="1"/>
    <col min="9219" max="9219" width="107.85546875" style="536" customWidth="1"/>
    <col min="9220" max="9220" width="22" style="536" customWidth="1"/>
    <col min="9221" max="9221" width="51.140625" style="536" customWidth="1"/>
    <col min="9222" max="9460" width="8.85546875" style="536" customWidth="1"/>
    <col min="9461" max="9461" width="1" style="536" customWidth="1"/>
    <col min="9462" max="9462" width="12.140625" style="536" customWidth="1"/>
    <col min="9463" max="9463" width="52" style="536" customWidth="1"/>
    <col min="9464" max="9464" width="4.42578125" style="536" customWidth="1"/>
    <col min="9465" max="9465" width="19.42578125" style="536" customWidth="1"/>
    <col min="9466" max="9466" width="1.85546875" style="536" customWidth="1"/>
    <col min="9467" max="9467" width="14.140625" style="536" customWidth="1"/>
    <col min="9468" max="9468" width="2" style="536"/>
    <col min="9469" max="9469" width="15" style="536" customWidth="1"/>
    <col min="9470" max="9470" width="1.5703125" style="536" customWidth="1"/>
    <col min="9471" max="9471" width="13.140625" style="536" customWidth="1"/>
    <col min="9472" max="9472" width="2" style="536"/>
    <col min="9473" max="9473" width="0.7109375" style="536" customWidth="1"/>
    <col min="9474" max="9474" width="13.42578125" style="536" customWidth="1"/>
    <col min="9475" max="9475" width="107.85546875" style="536" customWidth="1"/>
    <col min="9476" max="9476" width="22" style="536" customWidth="1"/>
    <col min="9477" max="9477" width="51.140625" style="536" customWidth="1"/>
    <col min="9478" max="9716" width="8.85546875" style="536" customWidth="1"/>
    <col min="9717" max="9717" width="1" style="536" customWidth="1"/>
    <col min="9718" max="9718" width="12.140625" style="536" customWidth="1"/>
    <col min="9719" max="9719" width="52" style="536" customWidth="1"/>
    <col min="9720" max="9720" width="4.42578125" style="536" customWidth="1"/>
    <col min="9721" max="9721" width="19.42578125" style="536" customWidth="1"/>
    <col min="9722" max="9722" width="1.85546875" style="536" customWidth="1"/>
    <col min="9723" max="9723" width="14.140625" style="536" customWidth="1"/>
    <col min="9724" max="9724" width="2" style="536"/>
    <col min="9725" max="9725" width="15" style="536" customWidth="1"/>
    <col min="9726" max="9726" width="1.5703125" style="536" customWidth="1"/>
    <col min="9727" max="9727" width="13.140625" style="536" customWidth="1"/>
    <col min="9728" max="9728" width="2" style="536"/>
    <col min="9729" max="9729" width="0.7109375" style="536" customWidth="1"/>
    <col min="9730" max="9730" width="13.42578125" style="536" customWidth="1"/>
    <col min="9731" max="9731" width="107.85546875" style="536" customWidth="1"/>
    <col min="9732" max="9732" width="22" style="536" customWidth="1"/>
    <col min="9733" max="9733" width="51.140625" style="536" customWidth="1"/>
    <col min="9734" max="9972" width="8.85546875" style="536" customWidth="1"/>
    <col min="9973" max="9973" width="1" style="536" customWidth="1"/>
    <col min="9974" max="9974" width="12.140625" style="536" customWidth="1"/>
    <col min="9975" max="9975" width="52" style="536" customWidth="1"/>
    <col min="9976" max="9976" width="4.42578125" style="536" customWidth="1"/>
    <col min="9977" max="9977" width="19.42578125" style="536" customWidth="1"/>
    <col min="9978" max="9978" width="1.85546875" style="536" customWidth="1"/>
    <col min="9979" max="9979" width="14.140625" style="536" customWidth="1"/>
    <col min="9980" max="9980" width="2" style="536"/>
    <col min="9981" max="9981" width="15" style="536" customWidth="1"/>
    <col min="9982" max="9982" width="1.5703125" style="536" customWidth="1"/>
    <col min="9983" max="9983" width="13.140625" style="536" customWidth="1"/>
    <col min="9984" max="9984" width="2" style="536"/>
    <col min="9985" max="9985" width="0.7109375" style="536" customWidth="1"/>
    <col min="9986" max="9986" width="13.42578125" style="536" customWidth="1"/>
    <col min="9987" max="9987" width="107.85546875" style="536" customWidth="1"/>
    <col min="9988" max="9988" width="22" style="536" customWidth="1"/>
    <col min="9989" max="9989" width="51.140625" style="536" customWidth="1"/>
    <col min="9990" max="10228" width="8.85546875" style="536" customWidth="1"/>
    <col min="10229" max="10229" width="1" style="536" customWidth="1"/>
    <col min="10230" max="10230" width="12.140625" style="536" customWidth="1"/>
    <col min="10231" max="10231" width="52" style="536" customWidth="1"/>
    <col min="10232" max="10232" width="4.42578125" style="536" customWidth="1"/>
    <col min="10233" max="10233" width="19.42578125" style="536" customWidth="1"/>
    <col min="10234" max="10234" width="1.85546875" style="536" customWidth="1"/>
    <col min="10235" max="10235" width="14.140625" style="536" customWidth="1"/>
    <col min="10236" max="10236" width="2" style="536"/>
    <col min="10237" max="10237" width="15" style="536" customWidth="1"/>
    <col min="10238" max="10238" width="1.5703125" style="536" customWidth="1"/>
    <col min="10239" max="10239" width="13.140625" style="536" customWidth="1"/>
    <col min="10240" max="10240" width="2" style="536"/>
    <col min="10241" max="10241" width="0.7109375" style="536" customWidth="1"/>
    <col min="10242" max="10242" width="13.42578125" style="536" customWidth="1"/>
    <col min="10243" max="10243" width="107.85546875" style="536" customWidth="1"/>
    <col min="10244" max="10244" width="22" style="536" customWidth="1"/>
    <col min="10245" max="10245" width="51.140625" style="536" customWidth="1"/>
    <col min="10246" max="10484" width="8.85546875" style="536" customWidth="1"/>
    <col min="10485" max="10485" width="1" style="536" customWidth="1"/>
    <col min="10486" max="10486" width="12.140625" style="536" customWidth="1"/>
    <col min="10487" max="10487" width="52" style="536" customWidth="1"/>
    <col min="10488" max="10488" width="4.42578125" style="536" customWidth="1"/>
    <col min="10489" max="10489" width="19.42578125" style="536" customWidth="1"/>
    <col min="10490" max="10490" width="1.85546875" style="536" customWidth="1"/>
    <col min="10491" max="10491" width="14.140625" style="536" customWidth="1"/>
    <col min="10492" max="10492" width="2" style="536"/>
    <col min="10493" max="10493" width="15" style="536" customWidth="1"/>
    <col min="10494" max="10494" width="1.5703125" style="536" customWidth="1"/>
    <col min="10495" max="10495" width="13.140625" style="536" customWidth="1"/>
    <col min="10496" max="10496" width="2" style="536"/>
    <col min="10497" max="10497" width="0.7109375" style="536" customWidth="1"/>
    <col min="10498" max="10498" width="13.42578125" style="536" customWidth="1"/>
    <col min="10499" max="10499" width="107.85546875" style="536" customWidth="1"/>
    <col min="10500" max="10500" width="22" style="536" customWidth="1"/>
    <col min="10501" max="10501" width="51.140625" style="536" customWidth="1"/>
    <col min="10502" max="10740" width="8.85546875" style="536" customWidth="1"/>
    <col min="10741" max="10741" width="1" style="536" customWidth="1"/>
    <col min="10742" max="10742" width="12.140625" style="536" customWidth="1"/>
    <col min="10743" max="10743" width="52" style="536" customWidth="1"/>
    <col min="10744" max="10744" width="4.42578125" style="536" customWidth="1"/>
    <col min="10745" max="10745" width="19.42578125" style="536" customWidth="1"/>
    <col min="10746" max="10746" width="1.85546875" style="536" customWidth="1"/>
    <col min="10747" max="10747" width="14.140625" style="536" customWidth="1"/>
    <col min="10748" max="10748" width="2" style="536"/>
    <col min="10749" max="10749" width="15" style="536" customWidth="1"/>
    <col min="10750" max="10750" width="1.5703125" style="536" customWidth="1"/>
    <col min="10751" max="10751" width="13.140625" style="536" customWidth="1"/>
    <col min="10752" max="10752" width="2" style="536"/>
    <col min="10753" max="10753" width="0.7109375" style="536" customWidth="1"/>
    <col min="10754" max="10754" width="13.42578125" style="536" customWidth="1"/>
    <col min="10755" max="10755" width="107.85546875" style="536" customWidth="1"/>
    <col min="10756" max="10756" width="22" style="536" customWidth="1"/>
    <col min="10757" max="10757" width="51.140625" style="536" customWidth="1"/>
    <col min="10758" max="10996" width="8.85546875" style="536" customWidth="1"/>
    <col min="10997" max="10997" width="1" style="536" customWidth="1"/>
    <col min="10998" max="10998" width="12.140625" style="536" customWidth="1"/>
    <col min="10999" max="10999" width="52" style="536" customWidth="1"/>
    <col min="11000" max="11000" width="4.42578125" style="536" customWidth="1"/>
    <col min="11001" max="11001" width="19.42578125" style="536" customWidth="1"/>
    <col min="11002" max="11002" width="1.85546875" style="536" customWidth="1"/>
    <col min="11003" max="11003" width="14.140625" style="536" customWidth="1"/>
    <col min="11004" max="11004" width="2" style="536"/>
    <col min="11005" max="11005" width="15" style="536" customWidth="1"/>
    <col min="11006" max="11006" width="1.5703125" style="536" customWidth="1"/>
    <col min="11007" max="11007" width="13.140625" style="536" customWidth="1"/>
    <col min="11008" max="11008" width="2" style="536"/>
    <col min="11009" max="11009" width="0.7109375" style="536" customWidth="1"/>
    <col min="11010" max="11010" width="13.42578125" style="536" customWidth="1"/>
    <col min="11011" max="11011" width="107.85546875" style="536" customWidth="1"/>
    <col min="11012" max="11012" width="22" style="536" customWidth="1"/>
    <col min="11013" max="11013" width="51.140625" style="536" customWidth="1"/>
    <col min="11014" max="11252" width="8.85546875" style="536" customWidth="1"/>
    <col min="11253" max="11253" width="1" style="536" customWidth="1"/>
    <col min="11254" max="11254" width="12.140625" style="536" customWidth="1"/>
    <col min="11255" max="11255" width="52" style="536" customWidth="1"/>
    <col min="11256" max="11256" width="4.42578125" style="536" customWidth="1"/>
    <col min="11257" max="11257" width="19.42578125" style="536" customWidth="1"/>
    <col min="11258" max="11258" width="1.85546875" style="536" customWidth="1"/>
    <col min="11259" max="11259" width="14.140625" style="536" customWidth="1"/>
    <col min="11260" max="11260" width="2" style="536"/>
    <col min="11261" max="11261" width="15" style="536" customWidth="1"/>
    <col min="11262" max="11262" width="1.5703125" style="536" customWidth="1"/>
    <col min="11263" max="11263" width="13.140625" style="536" customWidth="1"/>
    <col min="11264" max="11264" width="2" style="536"/>
    <col min="11265" max="11265" width="0.7109375" style="536" customWidth="1"/>
    <col min="11266" max="11266" width="13.42578125" style="536" customWidth="1"/>
    <col min="11267" max="11267" width="107.85546875" style="536" customWidth="1"/>
    <col min="11268" max="11268" width="22" style="536" customWidth="1"/>
    <col min="11269" max="11269" width="51.140625" style="536" customWidth="1"/>
    <col min="11270" max="11508" width="8.85546875" style="536" customWidth="1"/>
    <col min="11509" max="11509" width="1" style="536" customWidth="1"/>
    <col min="11510" max="11510" width="12.140625" style="536" customWidth="1"/>
    <col min="11511" max="11511" width="52" style="536" customWidth="1"/>
    <col min="11512" max="11512" width="4.42578125" style="536" customWidth="1"/>
    <col min="11513" max="11513" width="19.42578125" style="536" customWidth="1"/>
    <col min="11514" max="11514" width="1.85546875" style="536" customWidth="1"/>
    <col min="11515" max="11515" width="14.140625" style="536" customWidth="1"/>
    <col min="11516" max="11516" width="2" style="536"/>
    <col min="11517" max="11517" width="15" style="536" customWidth="1"/>
    <col min="11518" max="11518" width="1.5703125" style="536" customWidth="1"/>
    <col min="11519" max="11519" width="13.140625" style="536" customWidth="1"/>
    <col min="11520" max="11520" width="2" style="536"/>
    <col min="11521" max="11521" width="0.7109375" style="536" customWidth="1"/>
    <col min="11522" max="11522" width="13.42578125" style="536" customWidth="1"/>
    <col min="11523" max="11523" width="107.85546875" style="536" customWidth="1"/>
    <col min="11524" max="11524" width="22" style="536" customWidth="1"/>
    <col min="11525" max="11525" width="51.140625" style="536" customWidth="1"/>
    <col min="11526" max="11764" width="8.85546875" style="536" customWidth="1"/>
    <col min="11765" max="11765" width="1" style="536" customWidth="1"/>
    <col min="11766" max="11766" width="12.140625" style="536" customWidth="1"/>
    <col min="11767" max="11767" width="52" style="536" customWidth="1"/>
    <col min="11768" max="11768" width="4.42578125" style="536" customWidth="1"/>
    <col min="11769" max="11769" width="19.42578125" style="536" customWidth="1"/>
    <col min="11770" max="11770" width="1.85546875" style="536" customWidth="1"/>
    <col min="11771" max="11771" width="14.140625" style="536" customWidth="1"/>
    <col min="11772" max="11772" width="2" style="536"/>
    <col min="11773" max="11773" width="15" style="536" customWidth="1"/>
    <col min="11774" max="11774" width="1.5703125" style="536" customWidth="1"/>
    <col min="11775" max="11775" width="13.140625" style="536" customWidth="1"/>
    <col min="11776" max="11776" width="2" style="536"/>
    <col min="11777" max="11777" width="0.7109375" style="536" customWidth="1"/>
    <col min="11778" max="11778" width="13.42578125" style="536" customWidth="1"/>
    <col min="11779" max="11779" width="107.85546875" style="536" customWidth="1"/>
    <col min="11780" max="11780" width="22" style="536" customWidth="1"/>
    <col min="11781" max="11781" width="51.140625" style="536" customWidth="1"/>
    <col min="11782" max="12020" width="8.85546875" style="536" customWidth="1"/>
    <col min="12021" max="12021" width="1" style="536" customWidth="1"/>
    <col min="12022" max="12022" width="12.140625" style="536" customWidth="1"/>
    <col min="12023" max="12023" width="52" style="536" customWidth="1"/>
    <col min="12024" max="12024" width="4.42578125" style="536" customWidth="1"/>
    <col min="12025" max="12025" width="19.42578125" style="536" customWidth="1"/>
    <col min="12026" max="12026" width="1.85546875" style="536" customWidth="1"/>
    <col min="12027" max="12027" width="14.140625" style="536" customWidth="1"/>
    <col min="12028" max="12028" width="2" style="536"/>
    <col min="12029" max="12029" width="15" style="536" customWidth="1"/>
    <col min="12030" max="12030" width="1.5703125" style="536" customWidth="1"/>
    <col min="12031" max="12031" width="13.140625" style="536" customWidth="1"/>
    <col min="12032" max="12032" width="2" style="536"/>
    <col min="12033" max="12033" width="0.7109375" style="536" customWidth="1"/>
    <col min="12034" max="12034" width="13.42578125" style="536" customWidth="1"/>
    <col min="12035" max="12035" width="107.85546875" style="536" customWidth="1"/>
    <col min="12036" max="12036" width="22" style="536" customWidth="1"/>
    <col min="12037" max="12037" width="51.140625" style="536" customWidth="1"/>
    <col min="12038" max="12276" width="8.85546875" style="536" customWidth="1"/>
    <col min="12277" max="12277" width="1" style="536" customWidth="1"/>
    <col min="12278" max="12278" width="12.140625" style="536" customWidth="1"/>
    <col min="12279" max="12279" width="52" style="536" customWidth="1"/>
    <col min="12280" max="12280" width="4.42578125" style="536" customWidth="1"/>
    <col min="12281" max="12281" width="19.42578125" style="536" customWidth="1"/>
    <col min="12282" max="12282" width="1.85546875" style="536" customWidth="1"/>
    <col min="12283" max="12283" width="14.140625" style="536" customWidth="1"/>
    <col min="12284" max="12284" width="2" style="536"/>
    <col min="12285" max="12285" width="15" style="536" customWidth="1"/>
    <col min="12286" max="12286" width="1.5703125" style="536" customWidth="1"/>
    <col min="12287" max="12287" width="13.140625" style="536" customWidth="1"/>
    <col min="12288" max="12288" width="2" style="536"/>
    <col min="12289" max="12289" width="0.7109375" style="536" customWidth="1"/>
    <col min="12290" max="12290" width="13.42578125" style="536" customWidth="1"/>
    <col min="12291" max="12291" width="107.85546875" style="536" customWidth="1"/>
    <col min="12292" max="12292" width="22" style="536" customWidth="1"/>
    <col min="12293" max="12293" width="51.140625" style="536" customWidth="1"/>
    <col min="12294" max="12532" width="8.85546875" style="536" customWidth="1"/>
    <col min="12533" max="12533" width="1" style="536" customWidth="1"/>
    <col min="12534" max="12534" width="12.140625" style="536" customWidth="1"/>
    <col min="12535" max="12535" width="52" style="536" customWidth="1"/>
    <col min="12536" max="12536" width="4.42578125" style="536" customWidth="1"/>
    <col min="12537" max="12537" width="19.42578125" style="536" customWidth="1"/>
    <col min="12538" max="12538" width="1.85546875" style="536" customWidth="1"/>
    <col min="12539" max="12539" width="14.140625" style="536" customWidth="1"/>
    <col min="12540" max="12540" width="2" style="536"/>
    <col min="12541" max="12541" width="15" style="536" customWidth="1"/>
    <col min="12542" max="12542" width="1.5703125" style="536" customWidth="1"/>
    <col min="12543" max="12543" width="13.140625" style="536" customWidth="1"/>
    <col min="12544" max="12544" width="2" style="536"/>
    <col min="12545" max="12545" width="0.7109375" style="536" customWidth="1"/>
    <col min="12546" max="12546" width="13.42578125" style="536" customWidth="1"/>
    <col min="12547" max="12547" width="107.85546875" style="536" customWidth="1"/>
    <col min="12548" max="12548" width="22" style="536" customWidth="1"/>
    <col min="12549" max="12549" width="51.140625" style="536" customWidth="1"/>
    <col min="12550" max="12788" width="8.85546875" style="536" customWidth="1"/>
    <col min="12789" max="12789" width="1" style="536" customWidth="1"/>
    <col min="12790" max="12790" width="12.140625" style="536" customWidth="1"/>
    <col min="12791" max="12791" width="52" style="536" customWidth="1"/>
    <col min="12792" max="12792" width="4.42578125" style="536" customWidth="1"/>
    <col min="12793" max="12793" width="19.42578125" style="536" customWidth="1"/>
    <col min="12794" max="12794" width="1.85546875" style="536" customWidth="1"/>
    <col min="12795" max="12795" width="14.140625" style="536" customWidth="1"/>
    <col min="12796" max="12796" width="2" style="536"/>
    <col min="12797" max="12797" width="15" style="536" customWidth="1"/>
    <col min="12798" max="12798" width="1.5703125" style="536" customWidth="1"/>
    <col min="12799" max="12799" width="13.140625" style="536" customWidth="1"/>
    <col min="12800" max="12800" width="2" style="536"/>
    <col min="12801" max="12801" width="0.7109375" style="536" customWidth="1"/>
    <col min="12802" max="12802" width="13.42578125" style="536" customWidth="1"/>
    <col min="12803" max="12803" width="107.85546875" style="536" customWidth="1"/>
    <col min="12804" max="12804" width="22" style="536" customWidth="1"/>
    <col min="12805" max="12805" width="51.140625" style="536" customWidth="1"/>
    <col min="12806" max="13044" width="8.85546875" style="536" customWidth="1"/>
    <col min="13045" max="13045" width="1" style="536" customWidth="1"/>
    <col min="13046" max="13046" width="12.140625" style="536" customWidth="1"/>
    <col min="13047" max="13047" width="52" style="536" customWidth="1"/>
    <col min="13048" max="13048" width="4.42578125" style="536" customWidth="1"/>
    <col min="13049" max="13049" width="19.42578125" style="536" customWidth="1"/>
    <col min="13050" max="13050" width="1.85546875" style="536" customWidth="1"/>
    <col min="13051" max="13051" width="14.140625" style="536" customWidth="1"/>
    <col min="13052" max="13052" width="2" style="536"/>
    <col min="13053" max="13053" width="15" style="536" customWidth="1"/>
    <col min="13054" max="13054" width="1.5703125" style="536" customWidth="1"/>
    <col min="13055" max="13055" width="13.140625" style="536" customWidth="1"/>
    <col min="13056" max="13056" width="2" style="536"/>
    <col min="13057" max="13057" width="0.7109375" style="536" customWidth="1"/>
    <col min="13058" max="13058" width="13.42578125" style="536" customWidth="1"/>
    <col min="13059" max="13059" width="107.85546875" style="536" customWidth="1"/>
    <col min="13060" max="13060" width="22" style="536" customWidth="1"/>
    <col min="13061" max="13061" width="51.140625" style="536" customWidth="1"/>
    <col min="13062" max="13300" width="8.85546875" style="536" customWidth="1"/>
    <col min="13301" max="13301" width="1" style="536" customWidth="1"/>
    <col min="13302" max="13302" width="12.140625" style="536" customWidth="1"/>
    <col min="13303" max="13303" width="52" style="536" customWidth="1"/>
    <col min="13304" max="13304" width="4.42578125" style="536" customWidth="1"/>
    <col min="13305" max="13305" width="19.42578125" style="536" customWidth="1"/>
    <col min="13306" max="13306" width="1.85546875" style="536" customWidth="1"/>
    <col min="13307" max="13307" width="14.140625" style="536" customWidth="1"/>
    <col min="13308" max="13308" width="2" style="536"/>
    <col min="13309" max="13309" width="15" style="536" customWidth="1"/>
    <col min="13310" max="13310" width="1.5703125" style="536" customWidth="1"/>
    <col min="13311" max="13311" width="13.140625" style="536" customWidth="1"/>
    <col min="13312" max="13312" width="2" style="536"/>
    <col min="13313" max="13313" width="0.7109375" style="536" customWidth="1"/>
    <col min="13314" max="13314" width="13.42578125" style="536" customWidth="1"/>
    <col min="13315" max="13315" width="107.85546875" style="536" customWidth="1"/>
    <col min="13316" max="13316" width="22" style="536" customWidth="1"/>
    <col min="13317" max="13317" width="51.140625" style="536" customWidth="1"/>
    <col min="13318" max="13556" width="8.85546875" style="536" customWidth="1"/>
    <col min="13557" max="13557" width="1" style="536" customWidth="1"/>
    <col min="13558" max="13558" width="12.140625" style="536" customWidth="1"/>
    <col min="13559" max="13559" width="52" style="536" customWidth="1"/>
    <col min="13560" max="13560" width="4.42578125" style="536" customWidth="1"/>
    <col min="13561" max="13561" width="19.42578125" style="536" customWidth="1"/>
    <col min="13562" max="13562" width="1.85546875" style="536" customWidth="1"/>
    <col min="13563" max="13563" width="14.140625" style="536" customWidth="1"/>
    <col min="13564" max="13564" width="2" style="536"/>
    <col min="13565" max="13565" width="15" style="536" customWidth="1"/>
    <col min="13566" max="13566" width="1.5703125" style="536" customWidth="1"/>
    <col min="13567" max="13567" width="13.140625" style="536" customWidth="1"/>
    <col min="13568" max="13568" width="2" style="536"/>
    <col min="13569" max="13569" width="0.7109375" style="536" customWidth="1"/>
    <col min="13570" max="13570" width="13.42578125" style="536" customWidth="1"/>
    <col min="13571" max="13571" width="107.85546875" style="536" customWidth="1"/>
    <col min="13572" max="13572" width="22" style="536" customWidth="1"/>
    <col min="13573" max="13573" width="51.140625" style="536" customWidth="1"/>
    <col min="13574" max="13812" width="8.85546875" style="536" customWidth="1"/>
    <col min="13813" max="13813" width="1" style="536" customWidth="1"/>
    <col min="13814" max="13814" width="12.140625" style="536" customWidth="1"/>
    <col min="13815" max="13815" width="52" style="536" customWidth="1"/>
    <col min="13816" max="13816" width="4.42578125" style="536" customWidth="1"/>
    <col min="13817" max="13817" width="19.42578125" style="536" customWidth="1"/>
    <col min="13818" max="13818" width="1.85546875" style="536" customWidth="1"/>
    <col min="13819" max="13819" width="14.140625" style="536" customWidth="1"/>
    <col min="13820" max="13820" width="2" style="536"/>
    <col min="13821" max="13821" width="15" style="536" customWidth="1"/>
    <col min="13822" max="13822" width="1.5703125" style="536" customWidth="1"/>
    <col min="13823" max="13823" width="13.140625" style="536" customWidth="1"/>
    <col min="13824" max="13824" width="2" style="536"/>
    <col min="13825" max="13825" width="0.7109375" style="536" customWidth="1"/>
    <col min="13826" max="13826" width="13.42578125" style="536" customWidth="1"/>
    <col min="13827" max="13827" width="107.85546875" style="536" customWidth="1"/>
    <col min="13828" max="13828" width="22" style="536" customWidth="1"/>
    <col min="13829" max="13829" width="51.140625" style="536" customWidth="1"/>
    <col min="13830" max="14068" width="8.85546875" style="536" customWidth="1"/>
    <col min="14069" max="14069" width="1" style="536" customWidth="1"/>
    <col min="14070" max="14070" width="12.140625" style="536" customWidth="1"/>
    <col min="14071" max="14071" width="52" style="536" customWidth="1"/>
    <col min="14072" max="14072" width="4.42578125" style="536" customWidth="1"/>
    <col min="14073" max="14073" width="19.42578125" style="536" customWidth="1"/>
    <col min="14074" max="14074" width="1.85546875" style="536" customWidth="1"/>
    <col min="14075" max="14075" width="14.140625" style="536" customWidth="1"/>
    <col min="14076" max="14076" width="2" style="536"/>
    <col min="14077" max="14077" width="15" style="536" customWidth="1"/>
    <col min="14078" max="14078" width="1.5703125" style="536" customWidth="1"/>
    <col min="14079" max="14079" width="13.140625" style="536" customWidth="1"/>
    <col min="14080" max="14080" width="2" style="536"/>
    <col min="14081" max="14081" width="0.7109375" style="536" customWidth="1"/>
    <col min="14082" max="14082" width="13.42578125" style="536" customWidth="1"/>
    <col min="14083" max="14083" width="107.85546875" style="536" customWidth="1"/>
    <col min="14084" max="14084" width="22" style="536" customWidth="1"/>
    <col min="14085" max="14085" width="51.140625" style="536" customWidth="1"/>
    <col min="14086" max="14324" width="8.85546875" style="536" customWidth="1"/>
    <col min="14325" max="14325" width="1" style="536" customWidth="1"/>
    <col min="14326" max="14326" width="12.140625" style="536" customWidth="1"/>
    <col min="14327" max="14327" width="52" style="536" customWidth="1"/>
    <col min="14328" max="14328" width="4.42578125" style="536" customWidth="1"/>
    <col min="14329" max="14329" width="19.42578125" style="536" customWidth="1"/>
    <col min="14330" max="14330" width="1.85546875" style="536" customWidth="1"/>
    <col min="14331" max="14331" width="14.140625" style="536" customWidth="1"/>
    <col min="14332" max="14332" width="2" style="536"/>
    <col min="14333" max="14333" width="15" style="536" customWidth="1"/>
    <col min="14334" max="14334" width="1.5703125" style="536" customWidth="1"/>
    <col min="14335" max="14335" width="13.140625" style="536" customWidth="1"/>
    <col min="14336" max="14336" width="2" style="536"/>
    <col min="14337" max="14337" width="0.7109375" style="536" customWidth="1"/>
    <col min="14338" max="14338" width="13.42578125" style="536" customWidth="1"/>
    <col min="14339" max="14339" width="107.85546875" style="536" customWidth="1"/>
    <col min="14340" max="14340" width="22" style="536" customWidth="1"/>
    <col min="14341" max="14341" width="51.140625" style="536" customWidth="1"/>
    <col min="14342" max="14580" width="8.85546875" style="536" customWidth="1"/>
    <col min="14581" max="14581" width="1" style="536" customWidth="1"/>
    <col min="14582" max="14582" width="12.140625" style="536" customWidth="1"/>
    <col min="14583" max="14583" width="52" style="536" customWidth="1"/>
    <col min="14584" max="14584" width="4.42578125" style="536" customWidth="1"/>
    <col min="14585" max="14585" width="19.42578125" style="536" customWidth="1"/>
    <col min="14586" max="14586" width="1.85546875" style="536" customWidth="1"/>
    <col min="14587" max="14587" width="14.140625" style="536" customWidth="1"/>
    <col min="14588" max="14588" width="2" style="536"/>
    <col min="14589" max="14589" width="15" style="536" customWidth="1"/>
    <col min="14590" max="14590" width="1.5703125" style="536" customWidth="1"/>
    <col min="14591" max="14591" width="13.140625" style="536" customWidth="1"/>
    <col min="14592" max="14592" width="2" style="536"/>
    <col min="14593" max="14593" width="0.7109375" style="536" customWidth="1"/>
    <col min="14594" max="14594" width="13.42578125" style="536" customWidth="1"/>
    <col min="14595" max="14595" width="107.85546875" style="536" customWidth="1"/>
    <col min="14596" max="14596" width="22" style="536" customWidth="1"/>
    <col min="14597" max="14597" width="51.140625" style="536" customWidth="1"/>
    <col min="14598" max="14836" width="8.85546875" style="536" customWidth="1"/>
    <col min="14837" max="14837" width="1" style="536" customWidth="1"/>
    <col min="14838" max="14838" width="12.140625" style="536" customWidth="1"/>
    <col min="14839" max="14839" width="52" style="536" customWidth="1"/>
    <col min="14840" max="14840" width="4.42578125" style="536" customWidth="1"/>
    <col min="14841" max="14841" width="19.42578125" style="536" customWidth="1"/>
    <col min="14842" max="14842" width="1.85546875" style="536" customWidth="1"/>
    <col min="14843" max="14843" width="14.140625" style="536" customWidth="1"/>
    <col min="14844" max="14844" width="2" style="536"/>
    <col min="14845" max="14845" width="15" style="536" customWidth="1"/>
    <col min="14846" max="14846" width="1.5703125" style="536" customWidth="1"/>
    <col min="14847" max="14847" width="13.140625" style="536" customWidth="1"/>
    <col min="14848" max="14848" width="2" style="536"/>
    <col min="14849" max="14849" width="0.7109375" style="536" customWidth="1"/>
    <col min="14850" max="14850" width="13.42578125" style="536" customWidth="1"/>
    <col min="14851" max="14851" width="107.85546875" style="536" customWidth="1"/>
    <col min="14852" max="14852" width="22" style="536" customWidth="1"/>
    <col min="14853" max="14853" width="51.140625" style="536" customWidth="1"/>
    <col min="14854" max="15092" width="8.85546875" style="536" customWidth="1"/>
    <col min="15093" max="15093" width="1" style="536" customWidth="1"/>
    <col min="15094" max="15094" width="12.140625" style="536" customWidth="1"/>
    <col min="15095" max="15095" width="52" style="536" customWidth="1"/>
    <col min="15096" max="15096" width="4.42578125" style="536" customWidth="1"/>
    <col min="15097" max="15097" width="19.42578125" style="536" customWidth="1"/>
    <col min="15098" max="15098" width="1.85546875" style="536" customWidth="1"/>
    <col min="15099" max="15099" width="14.140625" style="536" customWidth="1"/>
    <col min="15100" max="15100" width="2" style="536"/>
    <col min="15101" max="15101" width="15" style="536" customWidth="1"/>
    <col min="15102" max="15102" width="1.5703125" style="536" customWidth="1"/>
    <col min="15103" max="15103" width="13.140625" style="536" customWidth="1"/>
    <col min="15104" max="15104" width="2" style="536"/>
    <col min="15105" max="15105" width="0.7109375" style="536" customWidth="1"/>
    <col min="15106" max="15106" width="13.42578125" style="536" customWidth="1"/>
    <col min="15107" max="15107" width="107.85546875" style="536" customWidth="1"/>
    <col min="15108" max="15108" width="22" style="536" customWidth="1"/>
    <col min="15109" max="15109" width="51.140625" style="536" customWidth="1"/>
    <col min="15110" max="15348" width="8.85546875" style="536" customWidth="1"/>
    <col min="15349" max="15349" width="1" style="536" customWidth="1"/>
    <col min="15350" max="15350" width="12.140625" style="536" customWidth="1"/>
    <col min="15351" max="15351" width="52" style="536" customWidth="1"/>
    <col min="15352" max="15352" width="4.42578125" style="536" customWidth="1"/>
    <col min="15353" max="15353" width="19.42578125" style="536" customWidth="1"/>
    <col min="15354" max="15354" width="1.85546875" style="536" customWidth="1"/>
    <col min="15355" max="15355" width="14.140625" style="536" customWidth="1"/>
    <col min="15356" max="15356" width="2" style="536"/>
    <col min="15357" max="15357" width="15" style="536" customWidth="1"/>
    <col min="15358" max="15358" width="1.5703125" style="536" customWidth="1"/>
    <col min="15359" max="15359" width="13.140625" style="536" customWidth="1"/>
    <col min="15360" max="15360" width="2" style="536"/>
    <col min="15361" max="15361" width="0.7109375" style="536" customWidth="1"/>
    <col min="15362" max="15362" width="13.42578125" style="536" customWidth="1"/>
    <col min="15363" max="15363" width="107.85546875" style="536" customWidth="1"/>
    <col min="15364" max="15364" width="22" style="536" customWidth="1"/>
    <col min="15365" max="15365" width="51.140625" style="536" customWidth="1"/>
    <col min="15366" max="15604" width="8.85546875" style="536" customWidth="1"/>
    <col min="15605" max="15605" width="1" style="536" customWidth="1"/>
    <col min="15606" max="15606" width="12.140625" style="536" customWidth="1"/>
    <col min="15607" max="15607" width="52" style="536" customWidth="1"/>
    <col min="15608" max="15608" width="4.42578125" style="536" customWidth="1"/>
    <col min="15609" max="15609" width="19.42578125" style="536" customWidth="1"/>
    <col min="15610" max="15610" width="1.85546875" style="536" customWidth="1"/>
    <col min="15611" max="15611" width="14.140625" style="536" customWidth="1"/>
    <col min="15612" max="15612" width="2" style="536"/>
    <col min="15613" max="15613" width="15" style="536" customWidth="1"/>
    <col min="15614" max="15614" width="1.5703125" style="536" customWidth="1"/>
    <col min="15615" max="15615" width="13.140625" style="536" customWidth="1"/>
    <col min="15616" max="15616" width="2" style="536"/>
    <col min="15617" max="15617" width="0.7109375" style="536" customWidth="1"/>
    <col min="15618" max="15618" width="13.42578125" style="536" customWidth="1"/>
    <col min="15619" max="15619" width="107.85546875" style="536" customWidth="1"/>
    <col min="15620" max="15620" width="22" style="536" customWidth="1"/>
    <col min="15621" max="15621" width="51.140625" style="536" customWidth="1"/>
    <col min="15622" max="15860" width="8.85546875" style="536" customWidth="1"/>
    <col min="15861" max="15861" width="1" style="536" customWidth="1"/>
    <col min="15862" max="15862" width="12.140625" style="536" customWidth="1"/>
    <col min="15863" max="15863" width="52" style="536" customWidth="1"/>
    <col min="15864" max="15864" width="4.42578125" style="536" customWidth="1"/>
    <col min="15865" max="15865" width="19.42578125" style="536" customWidth="1"/>
    <col min="15866" max="15866" width="1.85546875" style="536" customWidth="1"/>
    <col min="15867" max="15867" width="14.140625" style="536" customWidth="1"/>
    <col min="15868" max="15868" width="2" style="536"/>
    <col min="15869" max="15869" width="15" style="536" customWidth="1"/>
    <col min="15870" max="15870" width="1.5703125" style="536" customWidth="1"/>
    <col min="15871" max="15871" width="13.140625" style="536" customWidth="1"/>
    <col min="15872" max="15872" width="2" style="536"/>
    <col min="15873" max="15873" width="0.7109375" style="536" customWidth="1"/>
    <col min="15874" max="15874" width="13.42578125" style="536" customWidth="1"/>
    <col min="15875" max="15875" width="107.85546875" style="536" customWidth="1"/>
    <col min="15876" max="15876" width="22" style="536" customWidth="1"/>
    <col min="15877" max="15877" width="51.140625" style="536" customWidth="1"/>
    <col min="15878" max="16116" width="8.85546875" style="536" customWidth="1"/>
    <col min="16117" max="16117" width="1" style="536" customWidth="1"/>
    <col min="16118" max="16118" width="12.140625" style="536" customWidth="1"/>
    <col min="16119" max="16119" width="52" style="536" customWidth="1"/>
    <col min="16120" max="16120" width="4.42578125" style="536" customWidth="1"/>
    <col min="16121" max="16121" width="19.42578125" style="536" customWidth="1"/>
    <col min="16122" max="16122" width="1.85546875" style="536" customWidth="1"/>
    <col min="16123" max="16123" width="14.140625" style="536" customWidth="1"/>
    <col min="16124" max="16124" width="2" style="536"/>
    <col min="16125" max="16125" width="15" style="536" customWidth="1"/>
    <col min="16126" max="16126" width="1.5703125" style="536" customWidth="1"/>
    <col min="16127" max="16127" width="13.140625" style="536" customWidth="1"/>
    <col min="16128" max="16128" width="2" style="536"/>
    <col min="16129" max="16129" width="0.7109375" style="536" customWidth="1"/>
    <col min="16130" max="16130" width="13.42578125" style="536" customWidth="1"/>
    <col min="16131" max="16131" width="107.85546875" style="536" customWidth="1"/>
    <col min="16132" max="16132" width="22" style="536" customWidth="1"/>
    <col min="16133" max="16133" width="51.140625" style="536" customWidth="1"/>
    <col min="16134" max="16372" width="8.85546875" style="536" customWidth="1"/>
    <col min="16373" max="16373" width="1" style="536" customWidth="1"/>
    <col min="16374" max="16374" width="12.140625" style="536" customWidth="1"/>
    <col min="16375" max="16375" width="52" style="536" customWidth="1"/>
    <col min="16376" max="16376" width="4.42578125" style="536" customWidth="1"/>
    <col min="16377" max="16377" width="19.42578125" style="536" customWidth="1"/>
    <col min="16378" max="16378" width="1.85546875" style="536" customWidth="1"/>
    <col min="16379" max="16379" width="14.140625" style="536" customWidth="1"/>
    <col min="16380" max="16380" width="2" style="536"/>
    <col min="16381" max="16381" width="15" style="536" customWidth="1"/>
    <col min="16382" max="16382" width="1.5703125" style="536" customWidth="1"/>
    <col min="16383" max="16383" width="13.140625" style="536" customWidth="1"/>
    <col min="16384" max="16384" width="2" style="536"/>
  </cols>
  <sheetData>
    <row r="1" spans="1:256" ht="15" x14ac:dyDescent="0.25">
      <c r="B1" s="535" t="s">
        <v>449</v>
      </c>
      <c r="D1" s="537"/>
    </row>
    <row r="2" spans="1:256" x14ac:dyDescent="0.2">
      <c r="B2" s="539" t="s">
        <v>113</v>
      </c>
      <c r="D2" s="539"/>
    </row>
    <row r="3" spans="1:256" x14ac:dyDescent="0.2">
      <c r="B3" s="536"/>
    </row>
    <row r="4" spans="1:256" x14ac:dyDescent="0.2">
      <c r="B4" s="539" t="s">
        <v>450</v>
      </c>
      <c r="D4" s="539"/>
    </row>
    <row r="5" spans="1:256" ht="13.5" thickBot="1" x14ac:dyDescent="0.25">
      <c r="B5" s="540"/>
      <c r="D5" s="539"/>
    </row>
    <row r="6" spans="1:256" x14ac:dyDescent="0.2">
      <c r="B6" s="541" t="s">
        <v>114</v>
      </c>
      <c r="C6" s="541" t="s">
        <v>115</v>
      </c>
      <c r="D6" s="692" t="s">
        <v>451</v>
      </c>
    </row>
    <row r="7" spans="1:256" ht="13.5" thickBot="1" x14ac:dyDescent="0.25">
      <c r="B7" s="542"/>
      <c r="C7" s="542"/>
      <c r="D7" s="693"/>
    </row>
    <row r="8" spans="1:256" ht="14.25" x14ac:dyDescent="0.2">
      <c r="B8" s="543" t="s">
        <v>452</v>
      </c>
      <c r="C8" s="544" t="s">
        <v>453</v>
      </c>
      <c r="D8" s="545">
        <v>20000</v>
      </c>
    </row>
    <row r="9" spans="1:256" ht="14.25" x14ac:dyDescent="0.2">
      <c r="A9" s="546"/>
      <c r="B9" s="547" t="s">
        <v>454</v>
      </c>
      <c r="C9" s="548" t="s">
        <v>455</v>
      </c>
      <c r="D9" s="549">
        <v>6500</v>
      </c>
      <c r="E9" s="550"/>
      <c r="AX9" s="551"/>
      <c r="AY9" s="551"/>
      <c r="AZ9" s="551"/>
      <c r="BA9" s="551"/>
      <c r="BB9" s="551"/>
      <c r="BC9" s="551"/>
      <c r="BD9" s="551"/>
      <c r="BE9" s="551"/>
      <c r="BF9" s="551"/>
      <c r="BG9" s="551"/>
      <c r="BH9" s="551"/>
      <c r="BI9" s="551"/>
      <c r="BJ9" s="551"/>
      <c r="BK9" s="551"/>
      <c r="BL9" s="551"/>
      <c r="BM9" s="551"/>
      <c r="BN9" s="551"/>
      <c r="BO9" s="551"/>
      <c r="BP9" s="551"/>
      <c r="BQ9" s="551"/>
      <c r="BR9" s="551"/>
      <c r="BS9" s="551"/>
      <c r="BT9" s="551"/>
      <c r="BU9" s="551"/>
      <c r="BV9" s="551"/>
      <c r="BW9" s="551"/>
      <c r="BX9" s="551"/>
      <c r="BY9" s="551"/>
      <c r="BZ9" s="551"/>
      <c r="CA9" s="551"/>
      <c r="CB9" s="551"/>
      <c r="CC9" s="551"/>
      <c r="CD9" s="551"/>
      <c r="CE9" s="551"/>
      <c r="CF9" s="551"/>
      <c r="CG9" s="551"/>
      <c r="CH9" s="551"/>
      <c r="CI9" s="551"/>
      <c r="CJ9" s="551"/>
      <c r="CK9" s="551"/>
      <c r="CL9" s="551"/>
      <c r="CM9" s="551"/>
      <c r="CN9" s="551"/>
      <c r="CO9" s="551"/>
      <c r="CP9" s="551"/>
      <c r="CQ9" s="551"/>
      <c r="CR9" s="551"/>
      <c r="CS9" s="551"/>
      <c r="CT9" s="551"/>
      <c r="CU9" s="551"/>
      <c r="CV9" s="551"/>
      <c r="CW9" s="551"/>
      <c r="CX9" s="551"/>
      <c r="CY9" s="551"/>
      <c r="CZ9" s="551"/>
      <c r="DA9" s="551"/>
      <c r="DB9" s="551"/>
      <c r="DC9" s="551"/>
      <c r="DD9" s="551"/>
      <c r="DE9" s="551"/>
      <c r="DF9" s="551"/>
      <c r="DG9" s="551"/>
      <c r="DH9" s="551"/>
      <c r="DI9" s="551"/>
      <c r="DJ9" s="551"/>
      <c r="DK9" s="551"/>
      <c r="DL9" s="551"/>
      <c r="DM9" s="551"/>
      <c r="DN9" s="551"/>
      <c r="DO9" s="551"/>
      <c r="DP9" s="551"/>
      <c r="DQ9" s="551"/>
      <c r="DR9" s="551"/>
      <c r="DS9" s="551"/>
      <c r="DT9" s="551"/>
      <c r="DU9" s="551"/>
      <c r="DV9" s="551"/>
      <c r="DW9" s="551"/>
      <c r="DX9" s="551"/>
      <c r="DY9" s="551"/>
      <c r="DZ9" s="551"/>
      <c r="EA9" s="551"/>
      <c r="EB9" s="551"/>
      <c r="EC9" s="551"/>
      <c r="ED9" s="551"/>
      <c r="EE9" s="551"/>
      <c r="EF9" s="551"/>
      <c r="EG9" s="551"/>
      <c r="EH9" s="551"/>
      <c r="EI9" s="551"/>
      <c r="EJ9" s="551"/>
      <c r="EK9" s="551"/>
      <c r="EL9" s="551"/>
      <c r="EM9" s="551"/>
      <c r="EN9" s="551"/>
      <c r="EO9" s="551"/>
      <c r="EP9" s="551"/>
      <c r="EQ9" s="551"/>
      <c r="ER9" s="551"/>
      <c r="ES9" s="551"/>
      <c r="ET9" s="551"/>
      <c r="EU9" s="551"/>
      <c r="EV9" s="551"/>
      <c r="EW9" s="551"/>
      <c r="EX9" s="551"/>
      <c r="EY9" s="551"/>
      <c r="EZ9" s="551"/>
      <c r="FA9" s="551"/>
      <c r="FB9" s="551"/>
      <c r="FC9" s="551"/>
      <c r="FD9" s="551"/>
      <c r="FE9" s="551"/>
      <c r="FF9" s="551"/>
      <c r="FG9" s="551"/>
      <c r="FH9" s="551"/>
      <c r="FI9" s="551"/>
      <c r="FJ9" s="551"/>
      <c r="FK9" s="551"/>
      <c r="FL9" s="551"/>
      <c r="FM9" s="551"/>
      <c r="FN9" s="551"/>
      <c r="FO9" s="551"/>
      <c r="FP9" s="551"/>
      <c r="FQ9" s="551"/>
      <c r="FR9" s="551"/>
      <c r="FS9" s="551"/>
      <c r="FT9" s="551"/>
      <c r="FU9" s="551"/>
      <c r="FV9" s="551"/>
      <c r="FW9" s="551"/>
      <c r="FX9" s="551"/>
      <c r="FY9" s="551"/>
      <c r="FZ9" s="551"/>
      <c r="GA9" s="551"/>
      <c r="GB9" s="551"/>
      <c r="GC9" s="551"/>
      <c r="GD9" s="551"/>
      <c r="GE9" s="551"/>
      <c r="GF9" s="551"/>
      <c r="GG9" s="551"/>
      <c r="GH9" s="551"/>
      <c r="GI9" s="551"/>
      <c r="GJ9" s="551"/>
      <c r="GK9" s="551"/>
      <c r="GL9" s="551"/>
      <c r="GM9" s="551"/>
      <c r="GN9" s="551"/>
      <c r="GO9" s="551"/>
      <c r="GP9" s="551"/>
      <c r="GQ9" s="551"/>
      <c r="GR9" s="551"/>
      <c r="GS9" s="551"/>
      <c r="GT9" s="551"/>
      <c r="GU9" s="551"/>
      <c r="GV9" s="551"/>
      <c r="GW9" s="551"/>
      <c r="GX9" s="551"/>
      <c r="GY9" s="551"/>
      <c r="GZ9" s="551"/>
      <c r="HA9" s="551"/>
      <c r="HB9" s="551"/>
      <c r="HC9" s="551"/>
      <c r="HD9" s="551"/>
      <c r="HE9" s="551"/>
      <c r="HF9" s="551"/>
      <c r="HG9" s="551"/>
      <c r="HH9" s="551"/>
      <c r="HI9" s="551"/>
      <c r="HJ9" s="551"/>
      <c r="HK9" s="551"/>
      <c r="HL9" s="551"/>
      <c r="HM9" s="551"/>
      <c r="HN9" s="551"/>
      <c r="HO9" s="551"/>
      <c r="HP9" s="551"/>
      <c r="HQ9" s="551"/>
      <c r="HR9" s="551"/>
      <c r="HS9" s="551"/>
      <c r="HT9" s="551"/>
      <c r="HU9" s="551"/>
      <c r="HV9" s="551"/>
      <c r="HW9" s="551"/>
      <c r="HX9" s="551"/>
      <c r="HY9" s="551"/>
      <c r="HZ9" s="551"/>
      <c r="IA9" s="551"/>
      <c r="IB9" s="551"/>
      <c r="IC9" s="551"/>
      <c r="ID9" s="551"/>
      <c r="IE9" s="551"/>
      <c r="IF9" s="551"/>
      <c r="IG9" s="551"/>
      <c r="IH9" s="551"/>
      <c r="II9" s="551"/>
      <c r="IJ9" s="551"/>
      <c r="IK9" s="551"/>
      <c r="IL9" s="551"/>
      <c r="IM9" s="551"/>
      <c r="IN9" s="551"/>
      <c r="IO9" s="551"/>
      <c r="IP9" s="551"/>
      <c r="IQ9" s="551"/>
      <c r="IR9" s="551"/>
      <c r="IS9" s="551"/>
      <c r="IT9" s="551"/>
      <c r="IU9" s="551"/>
      <c r="IV9" s="551"/>
    </row>
    <row r="10" spans="1:256" ht="14.25" x14ac:dyDescent="0.2">
      <c r="B10" s="547" t="s">
        <v>456</v>
      </c>
      <c r="C10" s="548" t="s">
        <v>457</v>
      </c>
      <c r="D10" s="552">
        <v>5000</v>
      </c>
    </row>
    <row r="11" spans="1:256" ht="14.25" x14ac:dyDescent="0.2">
      <c r="A11" s="546"/>
      <c r="B11" s="547" t="s">
        <v>458</v>
      </c>
      <c r="C11" s="548" t="s">
        <v>459</v>
      </c>
      <c r="D11" s="553">
        <v>5000</v>
      </c>
      <c r="AX11" s="551"/>
      <c r="AY11" s="551"/>
      <c r="AZ11" s="551"/>
      <c r="BA11" s="551"/>
      <c r="BB11" s="551"/>
      <c r="BC11" s="551"/>
      <c r="BD11" s="551"/>
      <c r="BE11" s="551"/>
      <c r="BF11" s="551"/>
      <c r="BG11" s="551"/>
      <c r="BH11" s="551"/>
      <c r="BI11" s="551"/>
      <c r="BJ11" s="551"/>
      <c r="BK11" s="551"/>
      <c r="BL11" s="551"/>
      <c r="BM11" s="551"/>
      <c r="BN11" s="551"/>
      <c r="BO11" s="551"/>
      <c r="BP11" s="551"/>
      <c r="BQ11" s="551"/>
      <c r="BR11" s="551"/>
      <c r="BS11" s="551"/>
      <c r="BT11" s="551"/>
      <c r="BU11" s="551"/>
      <c r="BV11" s="551"/>
      <c r="BW11" s="551"/>
      <c r="BX11" s="551"/>
      <c r="BY11" s="551"/>
      <c r="BZ11" s="551"/>
      <c r="CA11" s="551"/>
      <c r="CB11" s="551"/>
      <c r="CC11" s="551"/>
      <c r="CD11" s="551"/>
      <c r="CE11" s="551"/>
      <c r="CF11" s="551"/>
      <c r="CG11" s="551"/>
      <c r="CH11" s="551"/>
      <c r="CI11" s="551"/>
      <c r="CJ11" s="551"/>
      <c r="CK11" s="551"/>
      <c r="CL11" s="551"/>
      <c r="CM11" s="551"/>
      <c r="CN11" s="551"/>
      <c r="CO11" s="551"/>
      <c r="CP11" s="551"/>
      <c r="CQ11" s="551"/>
      <c r="CR11" s="551"/>
      <c r="CS11" s="551"/>
      <c r="CT11" s="551"/>
      <c r="CU11" s="551"/>
      <c r="CV11" s="551"/>
      <c r="CW11" s="551"/>
      <c r="CX11" s="551"/>
      <c r="CY11" s="551"/>
      <c r="CZ11" s="551"/>
      <c r="DA11" s="551"/>
      <c r="DB11" s="551"/>
      <c r="DC11" s="551"/>
      <c r="DD11" s="551"/>
      <c r="DE11" s="551"/>
      <c r="DF11" s="551"/>
      <c r="DG11" s="551"/>
      <c r="DH11" s="551"/>
      <c r="DI11" s="551"/>
      <c r="DJ11" s="551"/>
      <c r="DK11" s="551"/>
      <c r="DL11" s="551"/>
      <c r="DM11" s="551"/>
      <c r="DN11" s="551"/>
      <c r="DO11" s="551"/>
      <c r="DP11" s="551"/>
      <c r="DQ11" s="551"/>
      <c r="DR11" s="551"/>
      <c r="DS11" s="551"/>
      <c r="DT11" s="551"/>
      <c r="DU11" s="551"/>
      <c r="DV11" s="551"/>
      <c r="DW11" s="551"/>
      <c r="DX11" s="551"/>
      <c r="DY11" s="551"/>
      <c r="DZ11" s="551"/>
      <c r="EA11" s="551"/>
      <c r="EB11" s="551"/>
      <c r="EC11" s="551"/>
      <c r="ED11" s="551"/>
      <c r="EE11" s="551"/>
      <c r="EF11" s="551"/>
      <c r="EG11" s="551"/>
      <c r="EH11" s="551"/>
      <c r="EI11" s="551"/>
      <c r="EJ11" s="551"/>
      <c r="EK11" s="551"/>
      <c r="EL11" s="551"/>
      <c r="EM11" s="551"/>
      <c r="EN11" s="551"/>
      <c r="EO11" s="551"/>
      <c r="EP11" s="551"/>
      <c r="EQ11" s="551"/>
      <c r="ER11" s="551"/>
      <c r="ES11" s="551"/>
      <c r="ET11" s="551"/>
      <c r="EU11" s="551"/>
      <c r="EV11" s="551"/>
      <c r="EW11" s="551"/>
      <c r="EX11" s="551"/>
      <c r="EY11" s="551"/>
      <c r="EZ11" s="551"/>
      <c r="FA11" s="551"/>
      <c r="FB11" s="551"/>
      <c r="FC11" s="551"/>
      <c r="FD11" s="551"/>
      <c r="FE11" s="551"/>
      <c r="FF11" s="551"/>
      <c r="FG11" s="551"/>
      <c r="FH11" s="551"/>
      <c r="FI11" s="551"/>
      <c r="FJ11" s="551"/>
      <c r="FK11" s="551"/>
      <c r="FL11" s="551"/>
      <c r="FM11" s="551"/>
      <c r="FN11" s="551"/>
      <c r="FO11" s="551"/>
      <c r="FP11" s="551"/>
      <c r="FQ11" s="551"/>
      <c r="FR11" s="551"/>
      <c r="FS11" s="551"/>
      <c r="FT11" s="551"/>
      <c r="FU11" s="551"/>
      <c r="FV11" s="551"/>
      <c r="FW11" s="551"/>
      <c r="FX11" s="551"/>
      <c r="FY11" s="551"/>
      <c r="FZ11" s="551"/>
      <c r="GA11" s="551"/>
      <c r="GB11" s="551"/>
      <c r="GC11" s="551"/>
      <c r="GD11" s="551"/>
      <c r="GE11" s="551"/>
      <c r="GF11" s="551"/>
      <c r="GG11" s="551"/>
      <c r="GH11" s="551"/>
      <c r="GI11" s="551"/>
      <c r="GJ11" s="551"/>
      <c r="GK11" s="551"/>
      <c r="GL11" s="551"/>
      <c r="GM11" s="551"/>
      <c r="GN11" s="551"/>
      <c r="GO11" s="551"/>
      <c r="GP11" s="551"/>
      <c r="GQ11" s="551"/>
      <c r="GR11" s="551"/>
      <c r="GS11" s="551"/>
      <c r="GT11" s="551"/>
      <c r="GU11" s="551"/>
      <c r="GV11" s="551"/>
      <c r="GW11" s="551"/>
      <c r="GX11" s="551"/>
      <c r="GY11" s="551"/>
      <c r="GZ11" s="551"/>
      <c r="HA11" s="551"/>
      <c r="HB11" s="551"/>
      <c r="HC11" s="551"/>
      <c r="HD11" s="551"/>
      <c r="HE11" s="551"/>
      <c r="HF11" s="551"/>
      <c r="HG11" s="551"/>
      <c r="HH11" s="551"/>
      <c r="HI11" s="551"/>
      <c r="HJ11" s="551"/>
      <c r="HK11" s="551"/>
      <c r="HL11" s="551"/>
      <c r="HM11" s="551"/>
      <c r="HN11" s="551"/>
      <c r="HO11" s="551"/>
      <c r="HP11" s="551"/>
      <c r="HQ11" s="551"/>
      <c r="HR11" s="551"/>
      <c r="HS11" s="551"/>
      <c r="HT11" s="551"/>
      <c r="HU11" s="551"/>
      <c r="HV11" s="551"/>
      <c r="HW11" s="551"/>
      <c r="HX11" s="551"/>
      <c r="HY11" s="551"/>
      <c r="HZ11" s="551"/>
      <c r="IA11" s="551"/>
      <c r="IB11" s="551"/>
      <c r="IC11" s="551"/>
      <c r="ID11" s="551"/>
      <c r="IE11" s="551"/>
      <c r="IF11" s="551"/>
      <c r="IG11" s="551"/>
      <c r="IH11" s="551"/>
      <c r="II11" s="551"/>
      <c r="IJ11" s="551"/>
      <c r="IK11" s="551"/>
      <c r="IL11" s="551"/>
      <c r="IM11" s="551"/>
      <c r="IN11" s="551"/>
      <c r="IO11" s="551"/>
      <c r="IP11" s="551"/>
      <c r="IQ11" s="551"/>
      <c r="IR11" s="551"/>
      <c r="IS11" s="551"/>
      <c r="IT11" s="551"/>
      <c r="IU11" s="551"/>
      <c r="IV11" s="551"/>
    </row>
    <row r="12" spans="1:256" ht="14.25" x14ac:dyDescent="0.2">
      <c r="B12" s="547" t="s">
        <v>460</v>
      </c>
      <c r="C12" s="548" t="s">
        <v>461</v>
      </c>
      <c r="D12" s="553">
        <v>7500</v>
      </c>
    </row>
    <row r="13" spans="1:256" ht="14.25" x14ac:dyDescent="0.2">
      <c r="A13" s="546"/>
      <c r="B13" s="547" t="s">
        <v>462</v>
      </c>
      <c r="C13" s="548" t="s">
        <v>463</v>
      </c>
      <c r="D13" s="553">
        <v>24000</v>
      </c>
      <c r="AX13" s="551"/>
      <c r="AY13" s="551"/>
      <c r="AZ13" s="551"/>
      <c r="BA13" s="551"/>
      <c r="BB13" s="551"/>
      <c r="BC13" s="551"/>
      <c r="BD13" s="551"/>
      <c r="BE13" s="551"/>
      <c r="BF13" s="551"/>
      <c r="BG13" s="551"/>
      <c r="BH13" s="551"/>
      <c r="BI13" s="551"/>
      <c r="BJ13" s="551"/>
      <c r="BK13" s="551"/>
      <c r="BL13" s="551"/>
      <c r="BM13" s="551"/>
      <c r="BN13" s="551"/>
      <c r="BO13" s="551"/>
      <c r="BP13" s="551"/>
      <c r="BQ13" s="551"/>
      <c r="BR13" s="551"/>
      <c r="BS13" s="551"/>
      <c r="BT13" s="551"/>
      <c r="BU13" s="551"/>
      <c r="BV13" s="551"/>
      <c r="BW13" s="551"/>
      <c r="BX13" s="551"/>
      <c r="BY13" s="551"/>
      <c r="BZ13" s="551"/>
      <c r="CA13" s="551"/>
      <c r="CB13" s="551"/>
      <c r="CC13" s="551"/>
      <c r="CD13" s="551"/>
      <c r="CE13" s="551"/>
      <c r="CF13" s="551"/>
      <c r="CG13" s="551"/>
      <c r="CH13" s="551"/>
      <c r="CI13" s="551"/>
      <c r="CJ13" s="551"/>
      <c r="CK13" s="551"/>
      <c r="CL13" s="551"/>
      <c r="CM13" s="551"/>
      <c r="CN13" s="551"/>
      <c r="CO13" s="551"/>
      <c r="CP13" s="551"/>
      <c r="CQ13" s="551"/>
      <c r="CR13" s="551"/>
      <c r="CS13" s="551"/>
      <c r="CT13" s="551"/>
      <c r="CU13" s="551"/>
      <c r="CV13" s="551"/>
      <c r="CW13" s="551"/>
      <c r="CX13" s="551"/>
      <c r="CY13" s="551"/>
      <c r="CZ13" s="551"/>
      <c r="DA13" s="551"/>
      <c r="DB13" s="551"/>
      <c r="DC13" s="551"/>
      <c r="DD13" s="551"/>
      <c r="DE13" s="551"/>
      <c r="DF13" s="551"/>
      <c r="DG13" s="551"/>
      <c r="DH13" s="551"/>
      <c r="DI13" s="551"/>
      <c r="DJ13" s="551"/>
      <c r="DK13" s="551"/>
      <c r="DL13" s="551"/>
      <c r="DM13" s="551"/>
      <c r="DN13" s="551"/>
      <c r="DO13" s="551"/>
      <c r="DP13" s="551"/>
      <c r="DQ13" s="551"/>
      <c r="DR13" s="551"/>
      <c r="DS13" s="551"/>
      <c r="DT13" s="551"/>
      <c r="DU13" s="551"/>
      <c r="DV13" s="551"/>
      <c r="DW13" s="551"/>
      <c r="DX13" s="551"/>
      <c r="DY13" s="551"/>
      <c r="DZ13" s="551"/>
      <c r="EA13" s="551"/>
      <c r="EB13" s="551"/>
      <c r="EC13" s="551"/>
      <c r="ED13" s="551"/>
      <c r="EE13" s="551"/>
      <c r="EF13" s="551"/>
      <c r="EG13" s="551"/>
      <c r="EH13" s="551"/>
      <c r="EI13" s="551"/>
      <c r="EJ13" s="551"/>
      <c r="EK13" s="551"/>
      <c r="EL13" s="551"/>
      <c r="EM13" s="551"/>
      <c r="EN13" s="551"/>
      <c r="EO13" s="551"/>
      <c r="EP13" s="551"/>
      <c r="EQ13" s="551"/>
      <c r="ER13" s="551"/>
      <c r="ES13" s="551"/>
      <c r="ET13" s="551"/>
      <c r="EU13" s="551"/>
      <c r="EV13" s="551"/>
      <c r="EW13" s="551"/>
      <c r="EX13" s="551"/>
      <c r="EY13" s="551"/>
      <c r="EZ13" s="551"/>
      <c r="FA13" s="551"/>
      <c r="FB13" s="551"/>
      <c r="FC13" s="551"/>
      <c r="FD13" s="551"/>
      <c r="FE13" s="551"/>
      <c r="FF13" s="551"/>
      <c r="FG13" s="551"/>
      <c r="FH13" s="551"/>
      <c r="FI13" s="551"/>
      <c r="FJ13" s="551"/>
      <c r="FK13" s="551"/>
      <c r="FL13" s="551"/>
      <c r="FM13" s="551"/>
      <c r="FN13" s="551"/>
      <c r="FO13" s="551"/>
      <c r="FP13" s="551"/>
      <c r="FQ13" s="551"/>
      <c r="FR13" s="551"/>
      <c r="FS13" s="551"/>
      <c r="FT13" s="551"/>
      <c r="FU13" s="551"/>
      <c r="FV13" s="551"/>
      <c r="FW13" s="551"/>
      <c r="FX13" s="551"/>
      <c r="FY13" s="551"/>
      <c r="FZ13" s="551"/>
      <c r="GA13" s="551"/>
      <c r="GB13" s="551"/>
      <c r="GC13" s="551"/>
      <c r="GD13" s="551"/>
      <c r="GE13" s="551"/>
      <c r="GF13" s="551"/>
      <c r="GG13" s="551"/>
      <c r="GH13" s="551"/>
      <c r="GI13" s="551"/>
      <c r="GJ13" s="551"/>
      <c r="GK13" s="551"/>
      <c r="GL13" s="551"/>
      <c r="GM13" s="551"/>
      <c r="GN13" s="551"/>
      <c r="GO13" s="551"/>
      <c r="GP13" s="551"/>
      <c r="GQ13" s="551"/>
      <c r="GR13" s="551"/>
      <c r="GS13" s="551"/>
      <c r="GT13" s="551"/>
      <c r="GU13" s="551"/>
      <c r="GV13" s="551"/>
      <c r="GW13" s="551"/>
      <c r="GX13" s="551"/>
      <c r="GY13" s="551"/>
      <c r="GZ13" s="551"/>
      <c r="HA13" s="551"/>
      <c r="HB13" s="551"/>
      <c r="HC13" s="551"/>
      <c r="HD13" s="551"/>
      <c r="HE13" s="551"/>
      <c r="HF13" s="551"/>
      <c r="HG13" s="551"/>
      <c r="HH13" s="551"/>
      <c r="HI13" s="551"/>
      <c r="HJ13" s="551"/>
      <c r="HK13" s="551"/>
      <c r="HL13" s="551"/>
      <c r="HM13" s="551"/>
      <c r="HN13" s="551"/>
      <c r="HO13" s="551"/>
      <c r="HP13" s="551"/>
      <c r="HQ13" s="551"/>
      <c r="HR13" s="551"/>
      <c r="HS13" s="551"/>
      <c r="HT13" s="551"/>
      <c r="HU13" s="551"/>
      <c r="HV13" s="551"/>
      <c r="HW13" s="551"/>
      <c r="HX13" s="551"/>
      <c r="HY13" s="551"/>
      <c r="HZ13" s="551"/>
      <c r="IA13" s="551"/>
      <c r="IB13" s="551"/>
      <c r="IC13" s="551"/>
      <c r="ID13" s="551"/>
      <c r="IE13" s="551"/>
      <c r="IF13" s="551"/>
      <c r="IG13" s="551"/>
      <c r="IH13" s="551"/>
      <c r="II13" s="551"/>
      <c r="IJ13" s="551"/>
      <c r="IK13" s="551"/>
      <c r="IL13" s="551"/>
      <c r="IM13" s="551"/>
      <c r="IN13" s="551"/>
      <c r="IO13" s="551"/>
      <c r="IP13" s="551"/>
      <c r="IQ13" s="551"/>
      <c r="IR13" s="551"/>
      <c r="IS13" s="551"/>
      <c r="IT13" s="551"/>
      <c r="IU13" s="551"/>
      <c r="IV13" s="551"/>
    </row>
    <row r="14" spans="1:256" ht="14.25" x14ac:dyDescent="0.2">
      <c r="B14" s="547" t="s">
        <v>464</v>
      </c>
      <c r="C14" s="548" t="s">
        <v>465</v>
      </c>
      <c r="D14" s="553">
        <v>13000</v>
      </c>
    </row>
    <row r="15" spans="1:256" ht="28.5" x14ac:dyDescent="0.2">
      <c r="A15" s="554"/>
      <c r="B15" s="547" t="s">
        <v>466</v>
      </c>
      <c r="C15" s="623" t="s">
        <v>467</v>
      </c>
      <c r="D15" s="555">
        <v>30000</v>
      </c>
      <c r="E15" s="550"/>
      <c r="F15" s="550"/>
      <c r="G15" s="550"/>
      <c r="H15" s="550"/>
      <c r="I15" s="550"/>
      <c r="J15" s="550"/>
      <c r="K15" s="550"/>
      <c r="L15" s="550"/>
      <c r="M15" s="550"/>
      <c r="N15" s="550"/>
      <c r="O15" s="550"/>
      <c r="P15" s="550"/>
      <c r="Q15" s="550"/>
      <c r="R15" s="550"/>
      <c r="S15" s="550"/>
      <c r="T15" s="550"/>
      <c r="U15" s="550"/>
      <c r="V15" s="550"/>
      <c r="W15" s="550"/>
      <c r="X15" s="550"/>
      <c r="Y15" s="550"/>
      <c r="Z15" s="550"/>
      <c r="AA15" s="550"/>
      <c r="AB15" s="550"/>
      <c r="AC15" s="550"/>
      <c r="AD15" s="550"/>
      <c r="AE15" s="550"/>
      <c r="AF15" s="550"/>
      <c r="AG15" s="550"/>
      <c r="AH15" s="550"/>
      <c r="AI15" s="550"/>
      <c r="AJ15" s="550"/>
      <c r="AK15" s="550"/>
      <c r="AL15" s="550"/>
      <c r="AM15" s="550"/>
      <c r="AN15" s="550"/>
      <c r="AO15" s="550"/>
      <c r="AP15" s="550"/>
      <c r="AQ15" s="550"/>
      <c r="AR15" s="550"/>
      <c r="AS15" s="550"/>
      <c r="AT15" s="550"/>
      <c r="AU15" s="550"/>
      <c r="AV15" s="550"/>
      <c r="AW15" s="550"/>
      <c r="AX15" s="556"/>
      <c r="AY15" s="556"/>
      <c r="AZ15" s="556"/>
      <c r="BA15" s="556"/>
      <c r="BB15" s="556"/>
      <c r="BC15" s="556"/>
      <c r="BD15" s="556"/>
      <c r="BE15" s="556"/>
      <c r="BF15" s="556"/>
      <c r="BG15" s="556"/>
      <c r="BH15" s="556"/>
      <c r="BI15" s="556"/>
      <c r="BJ15" s="556"/>
      <c r="BK15" s="556"/>
      <c r="BL15" s="556"/>
      <c r="BM15" s="556"/>
      <c r="BN15" s="556"/>
      <c r="BO15" s="556"/>
      <c r="BP15" s="556"/>
      <c r="BQ15" s="556"/>
      <c r="BR15" s="556"/>
      <c r="BS15" s="556"/>
      <c r="BT15" s="556"/>
      <c r="BU15" s="556"/>
      <c r="BV15" s="556"/>
      <c r="BW15" s="556"/>
      <c r="BX15" s="556"/>
      <c r="BY15" s="556"/>
      <c r="BZ15" s="556"/>
      <c r="CA15" s="556"/>
      <c r="CB15" s="556"/>
      <c r="CC15" s="556"/>
      <c r="CD15" s="556"/>
      <c r="CE15" s="556"/>
      <c r="CF15" s="556"/>
      <c r="CG15" s="556"/>
      <c r="CH15" s="556"/>
      <c r="CI15" s="556"/>
      <c r="CJ15" s="556"/>
      <c r="CK15" s="556"/>
      <c r="CL15" s="556"/>
      <c r="CM15" s="556"/>
      <c r="CN15" s="556"/>
      <c r="CO15" s="556"/>
      <c r="CP15" s="556"/>
      <c r="CQ15" s="556"/>
      <c r="CR15" s="556"/>
      <c r="CS15" s="556"/>
      <c r="CT15" s="556"/>
      <c r="CU15" s="556"/>
      <c r="CV15" s="556"/>
      <c r="CW15" s="556"/>
      <c r="CX15" s="556"/>
      <c r="CY15" s="556"/>
      <c r="CZ15" s="556"/>
      <c r="DA15" s="556"/>
      <c r="DB15" s="556"/>
      <c r="DC15" s="556"/>
      <c r="DD15" s="556"/>
      <c r="DE15" s="556"/>
      <c r="DF15" s="556"/>
      <c r="DG15" s="556"/>
      <c r="DH15" s="556"/>
      <c r="DI15" s="556"/>
      <c r="DJ15" s="556"/>
      <c r="DK15" s="556"/>
      <c r="DL15" s="556"/>
      <c r="DM15" s="556"/>
      <c r="DN15" s="556"/>
      <c r="DO15" s="556"/>
      <c r="DP15" s="556"/>
      <c r="DQ15" s="556"/>
      <c r="DR15" s="556"/>
      <c r="DS15" s="556"/>
      <c r="DT15" s="556"/>
      <c r="DU15" s="556"/>
      <c r="DV15" s="556"/>
      <c r="DW15" s="556"/>
      <c r="DX15" s="556"/>
      <c r="DY15" s="556"/>
      <c r="DZ15" s="556"/>
      <c r="EA15" s="556"/>
      <c r="EB15" s="556"/>
      <c r="EC15" s="556"/>
      <c r="ED15" s="556"/>
      <c r="EE15" s="556"/>
      <c r="EF15" s="556"/>
      <c r="EG15" s="556"/>
      <c r="EH15" s="556"/>
      <c r="EI15" s="556"/>
      <c r="EJ15" s="556"/>
      <c r="EK15" s="556"/>
      <c r="EL15" s="556"/>
      <c r="EM15" s="556"/>
      <c r="EN15" s="556"/>
      <c r="EO15" s="556"/>
      <c r="EP15" s="556"/>
      <c r="EQ15" s="556"/>
      <c r="ER15" s="556"/>
      <c r="ES15" s="556"/>
      <c r="ET15" s="556"/>
      <c r="EU15" s="556"/>
      <c r="EV15" s="556"/>
      <c r="EW15" s="556"/>
      <c r="EX15" s="556"/>
      <c r="EY15" s="556"/>
      <c r="EZ15" s="556"/>
      <c r="FA15" s="556"/>
      <c r="FB15" s="556"/>
      <c r="FC15" s="556"/>
      <c r="FD15" s="556"/>
      <c r="FE15" s="556"/>
      <c r="FF15" s="556"/>
      <c r="FG15" s="556"/>
      <c r="FH15" s="556"/>
      <c r="FI15" s="556"/>
      <c r="FJ15" s="556"/>
      <c r="FK15" s="556"/>
      <c r="FL15" s="556"/>
      <c r="FM15" s="556"/>
      <c r="FN15" s="556"/>
      <c r="FO15" s="556"/>
      <c r="FP15" s="556"/>
      <c r="FQ15" s="556"/>
      <c r="FR15" s="556"/>
      <c r="FS15" s="556"/>
      <c r="FT15" s="556"/>
      <c r="FU15" s="556"/>
      <c r="FV15" s="556"/>
      <c r="FW15" s="556"/>
      <c r="FX15" s="556"/>
      <c r="FY15" s="556"/>
      <c r="FZ15" s="556"/>
      <c r="GA15" s="556"/>
      <c r="GB15" s="556"/>
      <c r="GC15" s="556"/>
      <c r="GD15" s="556"/>
      <c r="GE15" s="556"/>
      <c r="GF15" s="556"/>
      <c r="GG15" s="556"/>
      <c r="GH15" s="556"/>
      <c r="GI15" s="556"/>
      <c r="GJ15" s="556"/>
      <c r="GK15" s="556"/>
      <c r="GL15" s="556"/>
      <c r="GM15" s="556"/>
      <c r="GN15" s="556"/>
      <c r="GO15" s="556"/>
      <c r="GP15" s="556"/>
      <c r="GQ15" s="556"/>
      <c r="GR15" s="556"/>
      <c r="GS15" s="556"/>
      <c r="GT15" s="556"/>
      <c r="GU15" s="556"/>
      <c r="GV15" s="556"/>
      <c r="GW15" s="556"/>
      <c r="GX15" s="556"/>
      <c r="GY15" s="556"/>
      <c r="GZ15" s="556"/>
      <c r="HA15" s="556"/>
      <c r="HB15" s="556"/>
      <c r="HC15" s="556"/>
      <c r="HD15" s="556"/>
      <c r="HE15" s="556"/>
      <c r="HF15" s="556"/>
      <c r="HG15" s="556"/>
      <c r="HH15" s="556"/>
      <c r="HI15" s="556"/>
      <c r="HJ15" s="556"/>
      <c r="HK15" s="556"/>
      <c r="HL15" s="556"/>
      <c r="HM15" s="556"/>
      <c r="HN15" s="556"/>
      <c r="HO15" s="556"/>
      <c r="HP15" s="556"/>
      <c r="HQ15" s="556"/>
      <c r="HR15" s="556"/>
      <c r="HS15" s="556"/>
      <c r="HT15" s="556"/>
      <c r="HU15" s="556"/>
      <c r="HV15" s="556"/>
      <c r="HW15" s="556"/>
      <c r="HX15" s="556"/>
      <c r="HY15" s="556"/>
      <c r="HZ15" s="556"/>
      <c r="IA15" s="556"/>
      <c r="IB15" s="556"/>
      <c r="IC15" s="556"/>
      <c r="ID15" s="556"/>
      <c r="IE15" s="556"/>
      <c r="IF15" s="556"/>
      <c r="IG15" s="556"/>
      <c r="IH15" s="556"/>
      <c r="II15" s="556"/>
      <c r="IJ15" s="556"/>
      <c r="IK15" s="556"/>
      <c r="IL15" s="556"/>
      <c r="IM15" s="556"/>
      <c r="IN15" s="556"/>
      <c r="IO15" s="556"/>
      <c r="IP15" s="556"/>
      <c r="IQ15" s="556"/>
      <c r="IR15" s="556"/>
      <c r="IS15" s="556"/>
      <c r="IT15" s="556"/>
      <c r="IU15" s="556"/>
      <c r="IV15" s="556"/>
    </row>
    <row r="16" spans="1:256" ht="14.25" x14ac:dyDescent="0.2">
      <c r="A16" s="546"/>
      <c r="B16" s="547" t="s">
        <v>468</v>
      </c>
      <c r="C16" s="557" t="s">
        <v>469</v>
      </c>
      <c r="D16" s="553">
        <v>4000</v>
      </c>
      <c r="AX16" s="551"/>
      <c r="AY16" s="551"/>
      <c r="AZ16" s="551"/>
      <c r="BA16" s="551"/>
      <c r="BB16" s="551"/>
      <c r="BC16" s="551"/>
      <c r="BD16" s="551"/>
      <c r="BE16" s="551"/>
      <c r="BF16" s="551"/>
      <c r="BG16" s="551"/>
      <c r="BH16" s="551"/>
      <c r="BI16" s="551"/>
      <c r="BJ16" s="551"/>
      <c r="BK16" s="551"/>
      <c r="BL16" s="551"/>
      <c r="BM16" s="551"/>
      <c r="BN16" s="551"/>
      <c r="BO16" s="551"/>
      <c r="BP16" s="551"/>
      <c r="BQ16" s="551"/>
      <c r="BR16" s="551"/>
      <c r="BS16" s="551"/>
      <c r="BT16" s="551"/>
      <c r="BU16" s="551"/>
      <c r="BV16" s="551"/>
      <c r="BW16" s="551"/>
      <c r="BX16" s="551"/>
      <c r="BY16" s="551"/>
      <c r="BZ16" s="551"/>
      <c r="CA16" s="551"/>
      <c r="CB16" s="551"/>
      <c r="CC16" s="551"/>
      <c r="CD16" s="551"/>
      <c r="CE16" s="551"/>
      <c r="CF16" s="551"/>
      <c r="CG16" s="551"/>
      <c r="CH16" s="551"/>
      <c r="CI16" s="551"/>
      <c r="CJ16" s="551"/>
      <c r="CK16" s="551"/>
      <c r="CL16" s="551"/>
      <c r="CM16" s="551"/>
      <c r="CN16" s="551"/>
      <c r="CO16" s="551"/>
      <c r="CP16" s="551"/>
      <c r="CQ16" s="551"/>
      <c r="CR16" s="551"/>
      <c r="CS16" s="551"/>
      <c r="CT16" s="551"/>
      <c r="CU16" s="551"/>
      <c r="CV16" s="551"/>
      <c r="CW16" s="551"/>
      <c r="CX16" s="551"/>
      <c r="CY16" s="551"/>
      <c r="CZ16" s="551"/>
      <c r="DA16" s="551"/>
      <c r="DB16" s="551"/>
      <c r="DC16" s="551"/>
      <c r="DD16" s="551"/>
      <c r="DE16" s="551"/>
      <c r="DF16" s="551"/>
      <c r="DG16" s="551"/>
      <c r="DH16" s="551"/>
      <c r="DI16" s="551"/>
      <c r="DJ16" s="551"/>
      <c r="DK16" s="551"/>
      <c r="DL16" s="551"/>
      <c r="DM16" s="551"/>
      <c r="DN16" s="551"/>
      <c r="DO16" s="551"/>
      <c r="DP16" s="551"/>
      <c r="DQ16" s="551"/>
      <c r="DR16" s="551"/>
      <c r="DS16" s="551"/>
      <c r="DT16" s="551"/>
      <c r="DU16" s="551"/>
      <c r="DV16" s="551"/>
      <c r="DW16" s="551"/>
      <c r="DX16" s="551"/>
      <c r="DY16" s="551"/>
      <c r="DZ16" s="551"/>
      <c r="EA16" s="551"/>
      <c r="EB16" s="551"/>
      <c r="EC16" s="551"/>
      <c r="ED16" s="551"/>
      <c r="EE16" s="551"/>
      <c r="EF16" s="551"/>
      <c r="EG16" s="551"/>
      <c r="EH16" s="551"/>
      <c r="EI16" s="551"/>
      <c r="EJ16" s="551"/>
      <c r="EK16" s="551"/>
      <c r="EL16" s="551"/>
      <c r="EM16" s="551"/>
      <c r="EN16" s="551"/>
      <c r="EO16" s="551"/>
      <c r="EP16" s="551"/>
      <c r="EQ16" s="551"/>
      <c r="ER16" s="551"/>
      <c r="ES16" s="551"/>
      <c r="ET16" s="551"/>
      <c r="EU16" s="551"/>
      <c r="EV16" s="551"/>
      <c r="EW16" s="551"/>
      <c r="EX16" s="551"/>
      <c r="EY16" s="551"/>
      <c r="EZ16" s="551"/>
      <c r="FA16" s="551"/>
      <c r="FB16" s="551"/>
      <c r="FC16" s="551"/>
      <c r="FD16" s="551"/>
      <c r="FE16" s="551"/>
      <c r="FF16" s="551"/>
      <c r="FG16" s="551"/>
      <c r="FH16" s="551"/>
      <c r="FI16" s="551"/>
      <c r="FJ16" s="551"/>
      <c r="FK16" s="551"/>
      <c r="FL16" s="551"/>
      <c r="FM16" s="551"/>
      <c r="FN16" s="551"/>
      <c r="FO16" s="551"/>
      <c r="FP16" s="551"/>
      <c r="FQ16" s="551"/>
      <c r="FR16" s="551"/>
      <c r="FS16" s="551"/>
      <c r="FT16" s="551"/>
      <c r="FU16" s="551"/>
      <c r="FV16" s="551"/>
      <c r="FW16" s="551"/>
      <c r="FX16" s="551"/>
      <c r="FY16" s="551"/>
      <c r="FZ16" s="551"/>
      <c r="GA16" s="551"/>
      <c r="GB16" s="551"/>
      <c r="GC16" s="551"/>
      <c r="GD16" s="551"/>
      <c r="GE16" s="551"/>
      <c r="GF16" s="551"/>
      <c r="GG16" s="551"/>
      <c r="GH16" s="551"/>
      <c r="GI16" s="551"/>
      <c r="GJ16" s="551"/>
      <c r="GK16" s="551"/>
      <c r="GL16" s="551"/>
      <c r="GM16" s="551"/>
      <c r="GN16" s="551"/>
      <c r="GO16" s="551"/>
      <c r="GP16" s="551"/>
      <c r="GQ16" s="551"/>
      <c r="GR16" s="551"/>
      <c r="GS16" s="551"/>
      <c r="GT16" s="551"/>
      <c r="GU16" s="551"/>
      <c r="GV16" s="551"/>
      <c r="GW16" s="551"/>
      <c r="GX16" s="551"/>
      <c r="GY16" s="551"/>
      <c r="GZ16" s="551"/>
      <c r="HA16" s="551"/>
      <c r="HB16" s="551"/>
      <c r="HC16" s="551"/>
      <c r="HD16" s="551"/>
      <c r="HE16" s="551"/>
      <c r="HF16" s="551"/>
      <c r="HG16" s="551"/>
      <c r="HH16" s="551"/>
      <c r="HI16" s="551"/>
      <c r="HJ16" s="551"/>
      <c r="HK16" s="551"/>
      <c r="HL16" s="551"/>
      <c r="HM16" s="551"/>
      <c r="HN16" s="551"/>
      <c r="HO16" s="551"/>
      <c r="HP16" s="551"/>
      <c r="HQ16" s="551"/>
      <c r="HR16" s="551"/>
      <c r="HS16" s="551"/>
      <c r="HT16" s="551"/>
      <c r="HU16" s="551"/>
      <c r="HV16" s="551"/>
      <c r="HW16" s="551"/>
      <c r="HX16" s="551"/>
      <c r="HY16" s="551"/>
      <c r="HZ16" s="551"/>
      <c r="IA16" s="551"/>
      <c r="IB16" s="551"/>
      <c r="IC16" s="551"/>
      <c r="ID16" s="551"/>
      <c r="IE16" s="551"/>
      <c r="IF16" s="551"/>
      <c r="IG16" s="551"/>
      <c r="IH16" s="551"/>
      <c r="II16" s="551"/>
      <c r="IJ16" s="551"/>
      <c r="IK16" s="551"/>
      <c r="IL16" s="551"/>
      <c r="IM16" s="551"/>
      <c r="IN16" s="551"/>
      <c r="IO16" s="551"/>
      <c r="IP16" s="551"/>
      <c r="IQ16" s="551"/>
      <c r="IR16" s="551"/>
      <c r="IS16" s="551"/>
      <c r="IT16" s="551"/>
      <c r="IU16" s="551"/>
      <c r="IV16" s="551"/>
    </row>
    <row r="17" spans="1:256" ht="14.25" x14ac:dyDescent="0.2">
      <c r="A17" s="546"/>
      <c r="B17" s="547" t="s">
        <v>470</v>
      </c>
      <c r="C17" s="557" t="s">
        <v>471</v>
      </c>
      <c r="D17" s="553">
        <v>8500</v>
      </c>
      <c r="AX17" s="551"/>
      <c r="AY17" s="551"/>
      <c r="AZ17" s="551"/>
      <c r="BA17" s="551"/>
      <c r="BB17" s="551"/>
      <c r="BC17" s="551"/>
      <c r="BD17" s="551"/>
      <c r="BE17" s="551"/>
      <c r="BF17" s="551"/>
      <c r="BG17" s="551"/>
      <c r="BH17" s="551"/>
      <c r="BI17" s="551"/>
      <c r="BJ17" s="551"/>
      <c r="BK17" s="551"/>
      <c r="BL17" s="551"/>
      <c r="BM17" s="551"/>
      <c r="BN17" s="551"/>
      <c r="BO17" s="551"/>
      <c r="BP17" s="551"/>
      <c r="BQ17" s="551"/>
      <c r="BR17" s="551"/>
      <c r="BS17" s="551"/>
      <c r="BT17" s="551"/>
      <c r="BU17" s="551"/>
      <c r="BV17" s="551"/>
      <c r="BW17" s="551"/>
      <c r="BX17" s="551"/>
      <c r="BY17" s="551"/>
      <c r="BZ17" s="551"/>
      <c r="CA17" s="551"/>
      <c r="CB17" s="551"/>
      <c r="CC17" s="551"/>
      <c r="CD17" s="551"/>
      <c r="CE17" s="551"/>
      <c r="CF17" s="551"/>
      <c r="CG17" s="551"/>
      <c r="CH17" s="551"/>
      <c r="CI17" s="551"/>
      <c r="CJ17" s="551"/>
      <c r="CK17" s="551"/>
      <c r="CL17" s="551"/>
      <c r="CM17" s="551"/>
      <c r="CN17" s="551"/>
      <c r="CO17" s="551"/>
      <c r="CP17" s="551"/>
      <c r="CQ17" s="551"/>
      <c r="CR17" s="551"/>
      <c r="CS17" s="551"/>
      <c r="CT17" s="551"/>
      <c r="CU17" s="551"/>
      <c r="CV17" s="551"/>
      <c r="CW17" s="551"/>
      <c r="CX17" s="551"/>
      <c r="CY17" s="551"/>
      <c r="CZ17" s="551"/>
      <c r="DA17" s="551"/>
      <c r="DB17" s="551"/>
      <c r="DC17" s="551"/>
      <c r="DD17" s="551"/>
      <c r="DE17" s="551"/>
      <c r="DF17" s="551"/>
      <c r="DG17" s="551"/>
      <c r="DH17" s="551"/>
      <c r="DI17" s="551"/>
      <c r="DJ17" s="551"/>
      <c r="DK17" s="551"/>
      <c r="DL17" s="551"/>
      <c r="DM17" s="551"/>
      <c r="DN17" s="551"/>
      <c r="DO17" s="551"/>
      <c r="DP17" s="551"/>
      <c r="DQ17" s="551"/>
      <c r="DR17" s="551"/>
      <c r="DS17" s="551"/>
      <c r="DT17" s="551"/>
      <c r="DU17" s="551"/>
      <c r="DV17" s="551"/>
      <c r="DW17" s="551"/>
      <c r="DX17" s="551"/>
      <c r="DY17" s="551"/>
      <c r="DZ17" s="551"/>
      <c r="EA17" s="551"/>
      <c r="EB17" s="551"/>
      <c r="EC17" s="551"/>
      <c r="ED17" s="551"/>
      <c r="EE17" s="551"/>
      <c r="EF17" s="551"/>
      <c r="EG17" s="551"/>
      <c r="EH17" s="551"/>
      <c r="EI17" s="551"/>
      <c r="EJ17" s="551"/>
      <c r="EK17" s="551"/>
      <c r="EL17" s="551"/>
      <c r="EM17" s="551"/>
      <c r="EN17" s="551"/>
      <c r="EO17" s="551"/>
      <c r="EP17" s="551"/>
      <c r="EQ17" s="551"/>
      <c r="ER17" s="551"/>
      <c r="ES17" s="551"/>
      <c r="ET17" s="551"/>
      <c r="EU17" s="551"/>
      <c r="EV17" s="551"/>
      <c r="EW17" s="551"/>
      <c r="EX17" s="551"/>
      <c r="EY17" s="551"/>
      <c r="EZ17" s="551"/>
      <c r="FA17" s="551"/>
      <c r="FB17" s="551"/>
      <c r="FC17" s="551"/>
      <c r="FD17" s="551"/>
      <c r="FE17" s="551"/>
      <c r="FF17" s="551"/>
      <c r="FG17" s="551"/>
      <c r="FH17" s="551"/>
      <c r="FI17" s="551"/>
      <c r="FJ17" s="551"/>
      <c r="FK17" s="551"/>
      <c r="FL17" s="551"/>
      <c r="FM17" s="551"/>
      <c r="FN17" s="551"/>
      <c r="FO17" s="551"/>
      <c r="FP17" s="551"/>
      <c r="FQ17" s="551"/>
      <c r="FR17" s="551"/>
      <c r="FS17" s="551"/>
      <c r="FT17" s="551"/>
      <c r="FU17" s="551"/>
      <c r="FV17" s="551"/>
      <c r="FW17" s="551"/>
      <c r="FX17" s="551"/>
      <c r="FY17" s="551"/>
      <c r="FZ17" s="551"/>
      <c r="GA17" s="551"/>
      <c r="GB17" s="551"/>
      <c r="GC17" s="551"/>
      <c r="GD17" s="551"/>
      <c r="GE17" s="551"/>
      <c r="GF17" s="551"/>
      <c r="GG17" s="551"/>
      <c r="GH17" s="551"/>
      <c r="GI17" s="551"/>
      <c r="GJ17" s="551"/>
      <c r="GK17" s="551"/>
      <c r="GL17" s="551"/>
      <c r="GM17" s="551"/>
      <c r="GN17" s="551"/>
      <c r="GO17" s="551"/>
      <c r="GP17" s="551"/>
      <c r="GQ17" s="551"/>
      <c r="GR17" s="551"/>
      <c r="GS17" s="551"/>
      <c r="GT17" s="551"/>
      <c r="GU17" s="551"/>
      <c r="GV17" s="551"/>
      <c r="GW17" s="551"/>
      <c r="GX17" s="551"/>
      <c r="GY17" s="551"/>
      <c r="GZ17" s="551"/>
      <c r="HA17" s="551"/>
      <c r="HB17" s="551"/>
      <c r="HC17" s="551"/>
      <c r="HD17" s="551"/>
      <c r="HE17" s="551"/>
      <c r="HF17" s="551"/>
      <c r="HG17" s="551"/>
      <c r="HH17" s="551"/>
      <c r="HI17" s="551"/>
      <c r="HJ17" s="551"/>
      <c r="HK17" s="551"/>
      <c r="HL17" s="551"/>
      <c r="HM17" s="551"/>
      <c r="HN17" s="551"/>
      <c r="HO17" s="551"/>
      <c r="HP17" s="551"/>
      <c r="HQ17" s="551"/>
      <c r="HR17" s="551"/>
      <c r="HS17" s="551"/>
      <c r="HT17" s="551"/>
      <c r="HU17" s="551"/>
      <c r="HV17" s="551"/>
      <c r="HW17" s="551"/>
      <c r="HX17" s="551"/>
      <c r="HY17" s="551"/>
      <c r="HZ17" s="551"/>
      <c r="IA17" s="551"/>
      <c r="IB17" s="551"/>
      <c r="IC17" s="551"/>
      <c r="ID17" s="551"/>
      <c r="IE17" s="551"/>
      <c r="IF17" s="551"/>
      <c r="IG17" s="551"/>
      <c r="IH17" s="551"/>
      <c r="II17" s="551"/>
      <c r="IJ17" s="551"/>
      <c r="IK17" s="551"/>
      <c r="IL17" s="551"/>
      <c r="IM17" s="551"/>
      <c r="IN17" s="551"/>
      <c r="IO17" s="551"/>
      <c r="IP17" s="551"/>
      <c r="IQ17" s="551"/>
      <c r="IR17" s="551"/>
      <c r="IS17" s="551"/>
      <c r="IT17" s="551"/>
      <c r="IU17" s="551"/>
      <c r="IV17" s="551"/>
    </row>
    <row r="18" spans="1:256" ht="14.25" x14ac:dyDescent="0.2">
      <c r="A18" s="558"/>
      <c r="B18" s="547" t="s">
        <v>472</v>
      </c>
      <c r="C18" s="559" t="s">
        <v>473</v>
      </c>
      <c r="D18" s="555">
        <v>12000</v>
      </c>
      <c r="AX18" s="538"/>
      <c r="AY18" s="538"/>
      <c r="AZ18" s="538"/>
      <c r="BA18" s="538"/>
      <c r="BB18" s="538"/>
      <c r="BC18" s="538"/>
      <c r="BD18" s="538"/>
      <c r="BE18" s="538"/>
      <c r="BF18" s="538"/>
      <c r="BG18" s="538"/>
      <c r="BH18" s="538"/>
      <c r="BI18" s="538"/>
      <c r="BJ18" s="538"/>
      <c r="BK18" s="538"/>
      <c r="BL18" s="538"/>
      <c r="BM18" s="538"/>
      <c r="BN18" s="538"/>
      <c r="BO18" s="538"/>
      <c r="BP18" s="538"/>
      <c r="BQ18" s="538"/>
      <c r="BR18" s="538"/>
      <c r="BS18" s="538"/>
      <c r="BT18" s="538"/>
      <c r="BU18" s="538"/>
      <c r="BV18" s="538"/>
      <c r="BW18" s="538"/>
      <c r="BX18" s="538"/>
      <c r="BY18" s="538"/>
      <c r="BZ18" s="538"/>
      <c r="CA18" s="538"/>
      <c r="CB18" s="538"/>
      <c r="CC18" s="538"/>
      <c r="CD18" s="538"/>
      <c r="CE18" s="538"/>
      <c r="CF18" s="538"/>
      <c r="CG18" s="538"/>
      <c r="CH18" s="538"/>
      <c r="CI18" s="538"/>
      <c r="CJ18" s="538"/>
      <c r="CK18" s="538"/>
      <c r="CL18" s="538"/>
      <c r="CM18" s="538"/>
      <c r="CN18" s="538"/>
      <c r="CO18" s="538"/>
      <c r="CP18" s="538"/>
      <c r="CQ18" s="538"/>
      <c r="CR18" s="538"/>
      <c r="CS18" s="538"/>
      <c r="CT18" s="538"/>
      <c r="CU18" s="538"/>
      <c r="CV18" s="538"/>
      <c r="CW18" s="538"/>
      <c r="CX18" s="538"/>
      <c r="CY18" s="538"/>
      <c r="CZ18" s="538"/>
      <c r="DA18" s="538"/>
      <c r="DB18" s="538"/>
      <c r="DC18" s="538"/>
      <c r="DD18" s="538"/>
      <c r="DE18" s="538"/>
      <c r="DF18" s="538"/>
      <c r="DG18" s="538"/>
      <c r="DH18" s="538"/>
      <c r="DI18" s="538"/>
      <c r="DJ18" s="538"/>
      <c r="DK18" s="538"/>
      <c r="DL18" s="538"/>
      <c r="DM18" s="538"/>
      <c r="DN18" s="538"/>
      <c r="DO18" s="538"/>
      <c r="DP18" s="538"/>
      <c r="DQ18" s="538"/>
      <c r="DR18" s="538"/>
      <c r="DS18" s="538"/>
      <c r="DT18" s="538"/>
      <c r="DU18" s="538"/>
      <c r="DV18" s="538"/>
      <c r="DW18" s="538"/>
      <c r="DX18" s="538"/>
      <c r="DY18" s="538"/>
      <c r="DZ18" s="538"/>
      <c r="EA18" s="538"/>
      <c r="EB18" s="538"/>
      <c r="EC18" s="538"/>
      <c r="ED18" s="538"/>
      <c r="EE18" s="538"/>
      <c r="EF18" s="538"/>
      <c r="EG18" s="538"/>
      <c r="EH18" s="538"/>
      <c r="EI18" s="538"/>
      <c r="EJ18" s="538"/>
      <c r="EK18" s="538"/>
      <c r="EL18" s="538"/>
      <c r="EM18" s="538"/>
      <c r="EN18" s="538"/>
      <c r="EO18" s="538"/>
      <c r="EP18" s="538"/>
      <c r="EQ18" s="538"/>
      <c r="ER18" s="538"/>
      <c r="ES18" s="538"/>
      <c r="ET18" s="538"/>
      <c r="EU18" s="538"/>
      <c r="EV18" s="538"/>
      <c r="EW18" s="538"/>
      <c r="EX18" s="538"/>
      <c r="EY18" s="538"/>
      <c r="EZ18" s="538"/>
      <c r="FA18" s="538"/>
      <c r="FB18" s="538"/>
      <c r="FC18" s="538"/>
      <c r="FD18" s="538"/>
      <c r="FE18" s="538"/>
      <c r="FF18" s="538"/>
      <c r="FG18" s="538"/>
      <c r="FH18" s="538"/>
      <c r="FI18" s="538"/>
      <c r="FJ18" s="538"/>
      <c r="FK18" s="538"/>
      <c r="FL18" s="538"/>
      <c r="FM18" s="538"/>
      <c r="FN18" s="538"/>
      <c r="FO18" s="538"/>
      <c r="FP18" s="538"/>
      <c r="FQ18" s="538"/>
      <c r="FR18" s="538"/>
      <c r="FS18" s="538"/>
      <c r="FT18" s="538"/>
      <c r="FU18" s="538"/>
      <c r="FV18" s="538"/>
      <c r="FW18" s="538"/>
      <c r="FX18" s="538"/>
      <c r="FY18" s="538"/>
      <c r="FZ18" s="538"/>
      <c r="GA18" s="538"/>
      <c r="GB18" s="538"/>
      <c r="GC18" s="538"/>
      <c r="GD18" s="538"/>
      <c r="GE18" s="538"/>
      <c r="GF18" s="538"/>
      <c r="GG18" s="538"/>
      <c r="GH18" s="538"/>
      <c r="GI18" s="538"/>
      <c r="GJ18" s="538"/>
      <c r="GK18" s="538"/>
      <c r="GL18" s="538"/>
      <c r="GM18" s="538"/>
      <c r="GN18" s="538"/>
      <c r="GO18" s="538"/>
      <c r="GP18" s="538"/>
      <c r="GQ18" s="538"/>
      <c r="GR18" s="538"/>
      <c r="GS18" s="538"/>
      <c r="GT18" s="538"/>
      <c r="GU18" s="538"/>
      <c r="GV18" s="538"/>
      <c r="GW18" s="538"/>
      <c r="GX18" s="538"/>
      <c r="GY18" s="538"/>
      <c r="GZ18" s="538"/>
      <c r="HA18" s="538"/>
      <c r="HB18" s="538"/>
      <c r="HC18" s="538"/>
      <c r="HD18" s="538"/>
      <c r="HE18" s="538"/>
      <c r="HF18" s="538"/>
      <c r="HG18" s="538"/>
      <c r="HH18" s="538"/>
      <c r="HI18" s="538"/>
      <c r="HJ18" s="538"/>
      <c r="HK18" s="538"/>
      <c r="HL18" s="538"/>
      <c r="HM18" s="538"/>
      <c r="HN18" s="538"/>
      <c r="HO18" s="538"/>
      <c r="HP18" s="538"/>
      <c r="HQ18" s="538"/>
      <c r="HR18" s="538"/>
      <c r="HS18" s="538"/>
      <c r="HT18" s="538"/>
      <c r="HU18" s="538"/>
      <c r="HV18" s="538"/>
      <c r="HW18" s="538"/>
      <c r="HX18" s="538"/>
      <c r="HY18" s="538"/>
      <c r="HZ18" s="538"/>
      <c r="IA18" s="538"/>
      <c r="IB18" s="538"/>
      <c r="IC18" s="538"/>
      <c r="ID18" s="538"/>
      <c r="IE18" s="538"/>
      <c r="IF18" s="538"/>
      <c r="IG18" s="538"/>
      <c r="IH18" s="538"/>
      <c r="II18" s="538"/>
      <c r="IJ18" s="538"/>
      <c r="IK18" s="538"/>
      <c r="IL18" s="538"/>
      <c r="IM18" s="538"/>
      <c r="IN18" s="538"/>
      <c r="IO18" s="538"/>
      <c r="IP18" s="538"/>
      <c r="IQ18" s="538"/>
      <c r="IR18" s="538"/>
      <c r="IS18" s="538"/>
      <c r="IT18" s="538"/>
      <c r="IU18" s="538"/>
      <c r="IV18" s="538"/>
    </row>
    <row r="19" spans="1:256" ht="28.5" x14ac:dyDescent="0.2">
      <c r="B19" s="547" t="s">
        <v>474</v>
      </c>
      <c r="C19" s="560" t="s">
        <v>475</v>
      </c>
      <c r="D19" s="555">
        <f>4800+5500+3500</f>
        <v>13800</v>
      </c>
    </row>
    <row r="20" spans="1:256" ht="14.25" x14ac:dyDescent="0.2">
      <c r="A20" s="546"/>
      <c r="B20" s="547" t="s">
        <v>476</v>
      </c>
      <c r="C20" s="557" t="s">
        <v>271</v>
      </c>
      <c r="D20" s="553">
        <v>8000</v>
      </c>
      <c r="AX20" s="551"/>
      <c r="AY20" s="551"/>
      <c r="AZ20" s="551"/>
      <c r="BA20" s="551"/>
      <c r="BB20" s="551"/>
      <c r="BC20" s="551"/>
      <c r="BD20" s="551"/>
      <c r="BE20" s="551"/>
      <c r="BF20" s="551"/>
      <c r="BG20" s="551"/>
      <c r="BH20" s="551"/>
      <c r="BI20" s="551"/>
      <c r="BJ20" s="551"/>
      <c r="BK20" s="551"/>
      <c r="BL20" s="551"/>
      <c r="BM20" s="551"/>
      <c r="BN20" s="551"/>
      <c r="BO20" s="551"/>
      <c r="BP20" s="551"/>
      <c r="BQ20" s="551"/>
      <c r="BR20" s="551"/>
      <c r="BS20" s="551"/>
      <c r="BT20" s="551"/>
      <c r="BU20" s="551"/>
      <c r="BV20" s="551"/>
      <c r="BW20" s="551"/>
      <c r="BX20" s="551"/>
      <c r="BY20" s="551"/>
      <c r="BZ20" s="551"/>
      <c r="CA20" s="551"/>
      <c r="CB20" s="551"/>
      <c r="CC20" s="551"/>
      <c r="CD20" s="551"/>
      <c r="CE20" s="551"/>
      <c r="CF20" s="551"/>
      <c r="CG20" s="551"/>
      <c r="CH20" s="551"/>
      <c r="CI20" s="551"/>
      <c r="CJ20" s="551"/>
      <c r="CK20" s="551"/>
      <c r="CL20" s="551"/>
      <c r="CM20" s="551"/>
      <c r="CN20" s="551"/>
      <c r="CO20" s="551"/>
      <c r="CP20" s="551"/>
      <c r="CQ20" s="551"/>
      <c r="CR20" s="551"/>
      <c r="CS20" s="551"/>
      <c r="CT20" s="551"/>
      <c r="CU20" s="551"/>
      <c r="CV20" s="551"/>
      <c r="CW20" s="551"/>
      <c r="CX20" s="551"/>
      <c r="CY20" s="551"/>
      <c r="CZ20" s="551"/>
      <c r="DA20" s="551"/>
      <c r="DB20" s="551"/>
      <c r="DC20" s="551"/>
      <c r="DD20" s="551"/>
      <c r="DE20" s="551"/>
      <c r="DF20" s="551"/>
      <c r="DG20" s="551"/>
      <c r="DH20" s="551"/>
      <c r="DI20" s="551"/>
      <c r="DJ20" s="551"/>
      <c r="DK20" s="551"/>
      <c r="DL20" s="551"/>
      <c r="DM20" s="551"/>
      <c r="DN20" s="551"/>
      <c r="DO20" s="551"/>
      <c r="DP20" s="551"/>
      <c r="DQ20" s="551"/>
      <c r="DR20" s="551"/>
      <c r="DS20" s="551"/>
      <c r="DT20" s="551"/>
      <c r="DU20" s="551"/>
      <c r="DV20" s="551"/>
      <c r="DW20" s="551"/>
      <c r="DX20" s="551"/>
      <c r="DY20" s="551"/>
      <c r="DZ20" s="551"/>
      <c r="EA20" s="551"/>
      <c r="EB20" s="551"/>
      <c r="EC20" s="551"/>
      <c r="ED20" s="551"/>
      <c r="EE20" s="551"/>
      <c r="EF20" s="551"/>
      <c r="EG20" s="551"/>
      <c r="EH20" s="551"/>
      <c r="EI20" s="551"/>
      <c r="EJ20" s="551"/>
      <c r="EK20" s="551"/>
      <c r="EL20" s="551"/>
      <c r="EM20" s="551"/>
      <c r="EN20" s="551"/>
      <c r="EO20" s="551"/>
      <c r="EP20" s="551"/>
      <c r="EQ20" s="551"/>
      <c r="ER20" s="551"/>
      <c r="ES20" s="551"/>
      <c r="ET20" s="551"/>
      <c r="EU20" s="551"/>
      <c r="EV20" s="551"/>
      <c r="EW20" s="551"/>
      <c r="EX20" s="551"/>
      <c r="EY20" s="551"/>
      <c r="EZ20" s="551"/>
      <c r="FA20" s="551"/>
      <c r="FB20" s="551"/>
      <c r="FC20" s="551"/>
      <c r="FD20" s="551"/>
      <c r="FE20" s="551"/>
      <c r="FF20" s="551"/>
      <c r="FG20" s="551"/>
      <c r="FH20" s="551"/>
      <c r="FI20" s="551"/>
      <c r="FJ20" s="551"/>
      <c r="FK20" s="551"/>
      <c r="FL20" s="551"/>
      <c r="FM20" s="551"/>
      <c r="FN20" s="551"/>
      <c r="FO20" s="551"/>
      <c r="FP20" s="551"/>
      <c r="FQ20" s="551"/>
      <c r="FR20" s="551"/>
      <c r="FS20" s="551"/>
      <c r="FT20" s="551"/>
      <c r="FU20" s="551"/>
      <c r="FV20" s="551"/>
      <c r="FW20" s="551"/>
      <c r="FX20" s="551"/>
      <c r="FY20" s="551"/>
      <c r="FZ20" s="551"/>
      <c r="GA20" s="551"/>
      <c r="GB20" s="551"/>
      <c r="GC20" s="551"/>
      <c r="GD20" s="551"/>
      <c r="GE20" s="551"/>
      <c r="GF20" s="551"/>
      <c r="GG20" s="551"/>
      <c r="GH20" s="551"/>
      <c r="GI20" s="551"/>
      <c r="GJ20" s="551"/>
      <c r="GK20" s="551"/>
      <c r="GL20" s="551"/>
      <c r="GM20" s="551"/>
      <c r="GN20" s="551"/>
      <c r="GO20" s="551"/>
      <c r="GP20" s="551"/>
      <c r="GQ20" s="551"/>
      <c r="GR20" s="551"/>
      <c r="GS20" s="551"/>
      <c r="GT20" s="551"/>
      <c r="GU20" s="551"/>
      <c r="GV20" s="551"/>
      <c r="GW20" s="551"/>
      <c r="GX20" s="551"/>
      <c r="GY20" s="551"/>
      <c r="GZ20" s="551"/>
      <c r="HA20" s="551"/>
      <c r="HB20" s="551"/>
      <c r="HC20" s="551"/>
      <c r="HD20" s="551"/>
      <c r="HE20" s="551"/>
      <c r="HF20" s="551"/>
      <c r="HG20" s="551"/>
      <c r="HH20" s="551"/>
      <c r="HI20" s="551"/>
      <c r="HJ20" s="551"/>
      <c r="HK20" s="551"/>
      <c r="HL20" s="551"/>
      <c r="HM20" s="551"/>
      <c r="HN20" s="551"/>
      <c r="HO20" s="551"/>
      <c r="HP20" s="551"/>
      <c r="HQ20" s="551"/>
      <c r="HR20" s="551"/>
      <c r="HS20" s="551"/>
      <c r="HT20" s="551"/>
      <c r="HU20" s="551"/>
      <c r="HV20" s="551"/>
      <c r="HW20" s="551"/>
      <c r="HX20" s="551"/>
      <c r="HY20" s="551"/>
      <c r="HZ20" s="551"/>
      <c r="IA20" s="551"/>
      <c r="IB20" s="551"/>
      <c r="IC20" s="551"/>
      <c r="ID20" s="551"/>
      <c r="IE20" s="551"/>
      <c r="IF20" s="551"/>
      <c r="IG20" s="551"/>
      <c r="IH20" s="551"/>
      <c r="II20" s="551"/>
      <c r="IJ20" s="551"/>
      <c r="IK20" s="551"/>
      <c r="IL20" s="551"/>
      <c r="IM20" s="551"/>
      <c r="IN20" s="551"/>
      <c r="IO20" s="551"/>
      <c r="IP20" s="551"/>
      <c r="IQ20" s="551"/>
      <c r="IR20" s="551"/>
      <c r="IS20" s="551"/>
      <c r="IT20" s="551"/>
      <c r="IU20" s="551"/>
      <c r="IV20" s="551"/>
    </row>
    <row r="21" spans="1:256" ht="14.25" x14ac:dyDescent="0.2">
      <c r="A21" s="546"/>
      <c r="B21" s="547" t="s">
        <v>477</v>
      </c>
      <c r="C21" s="561" t="s">
        <v>478</v>
      </c>
      <c r="D21" s="553">
        <v>9000</v>
      </c>
      <c r="AX21" s="551"/>
      <c r="AY21" s="551"/>
      <c r="AZ21" s="551"/>
      <c r="BA21" s="551"/>
      <c r="BB21" s="551"/>
      <c r="BC21" s="551"/>
      <c r="BD21" s="551"/>
      <c r="BE21" s="551"/>
      <c r="BF21" s="551"/>
      <c r="BG21" s="551"/>
      <c r="BH21" s="551"/>
      <c r="BI21" s="551"/>
      <c r="BJ21" s="551"/>
      <c r="BK21" s="551"/>
      <c r="BL21" s="551"/>
      <c r="BM21" s="551"/>
      <c r="BN21" s="551"/>
      <c r="BO21" s="551"/>
      <c r="BP21" s="551"/>
      <c r="BQ21" s="551"/>
      <c r="BR21" s="551"/>
      <c r="BS21" s="551"/>
      <c r="BT21" s="551"/>
      <c r="BU21" s="551"/>
      <c r="BV21" s="551"/>
      <c r="BW21" s="551"/>
      <c r="BX21" s="551"/>
      <c r="BY21" s="551"/>
      <c r="BZ21" s="551"/>
      <c r="CA21" s="551"/>
      <c r="CB21" s="551"/>
      <c r="CC21" s="551"/>
      <c r="CD21" s="551"/>
      <c r="CE21" s="551"/>
      <c r="CF21" s="551"/>
      <c r="CG21" s="551"/>
      <c r="CH21" s="551"/>
      <c r="CI21" s="551"/>
      <c r="CJ21" s="551"/>
      <c r="CK21" s="551"/>
      <c r="CL21" s="551"/>
      <c r="CM21" s="551"/>
      <c r="CN21" s="551"/>
      <c r="CO21" s="551"/>
      <c r="CP21" s="551"/>
      <c r="CQ21" s="551"/>
      <c r="CR21" s="551"/>
      <c r="CS21" s="551"/>
      <c r="CT21" s="551"/>
      <c r="CU21" s="551"/>
      <c r="CV21" s="551"/>
      <c r="CW21" s="551"/>
      <c r="CX21" s="551"/>
      <c r="CY21" s="551"/>
      <c r="CZ21" s="551"/>
      <c r="DA21" s="551"/>
      <c r="DB21" s="551"/>
      <c r="DC21" s="551"/>
      <c r="DD21" s="551"/>
      <c r="DE21" s="551"/>
      <c r="DF21" s="551"/>
      <c r="DG21" s="551"/>
      <c r="DH21" s="551"/>
      <c r="DI21" s="551"/>
      <c r="DJ21" s="551"/>
      <c r="DK21" s="551"/>
      <c r="DL21" s="551"/>
      <c r="DM21" s="551"/>
      <c r="DN21" s="551"/>
      <c r="DO21" s="551"/>
      <c r="DP21" s="551"/>
      <c r="DQ21" s="551"/>
      <c r="DR21" s="551"/>
      <c r="DS21" s="551"/>
      <c r="DT21" s="551"/>
      <c r="DU21" s="551"/>
      <c r="DV21" s="551"/>
      <c r="DW21" s="551"/>
      <c r="DX21" s="551"/>
      <c r="DY21" s="551"/>
      <c r="DZ21" s="551"/>
      <c r="EA21" s="551"/>
      <c r="EB21" s="551"/>
      <c r="EC21" s="551"/>
      <c r="ED21" s="551"/>
      <c r="EE21" s="551"/>
      <c r="EF21" s="551"/>
      <c r="EG21" s="551"/>
      <c r="EH21" s="551"/>
      <c r="EI21" s="551"/>
      <c r="EJ21" s="551"/>
      <c r="EK21" s="551"/>
      <c r="EL21" s="551"/>
      <c r="EM21" s="551"/>
      <c r="EN21" s="551"/>
      <c r="EO21" s="551"/>
      <c r="EP21" s="551"/>
      <c r="EQ21" s="551"/>
      <c r="ER21" s="551"/>
      <c r="ES21" s="551"/>
      <c r="ET21" s="551"/>
      <c r="EU21" s="551"/>
      <c r="EV21" s="551"/>
      <c r="EW21" s="551"/>
      <c r="EX21" s="551"/>
      <c r="EY21" s="551"/>
      <c r="EZ21" s="551"/>
      <c r="FA21" s="551"/>
      <c r="FB21" s="551"/>
      <c r="FC21" s="551"/>
      <c r="FD21" s="551"/>
      <c r="FE21" s="551"/>
      <c r="FF21" s="551"/>
      <c r="FG21" s="551"/>
      <c r="FH21" s="551"/>
      <c r="FI21" s="551"/>
      <c r="FJ21" s="551"/>
      <c r="FK21" s="551"/>
      <c r="FL21" s="551"/>
      <c r="FM21" s="551"/>
      <c r="FN21" s="551"/>
      <c r="FO21" s="551"/>
      <c r="FP21" s="551"/>
      <c r="FQ21" s="551"/>
      <c r="FR21" s="551"/>
      <c r="FS21" s="551"/>
      <c r="FT21" s="551"/>
      <c r="FU21" s="551"/>
      <c r="FV21" s="551"/>
      <c r="FW21" s="551"/>
      <c r="FX21" s="551"/>
      <c r="FY21" s="551"/>
      <c r="FZ21" s="551"/>
      <c r="GA21" s="551"/>
      <c r="GB21" s="551"/>
      <c r="GC21" s="551"/>
      <c r="GD21" s="551"/>
      <c r="GE21" s="551"/>
      <c r="GF21" s="551"/>
      <c r="GG21" s="551"/>
      <c r="GH21" s="551"/>
      <c r="GI21" s="551"/>
      <c r="GJ21" s="551"/>
      <c r="GK21" s="551"/>
      <c r="GL21" s="551"/>
      <c r="GM21" s="551"/>
      <c r="GN21" s="551"/>
      <c r="GO21" s="551"/>
      <c r="GP21" s="551"/>
      <c r="GQ21" s="551"/>
      <c r="GR21" s="551"/>
      <c r="GS21" s="551"/>
      <c r="GT21" s="551"/>
      <c r="GU21" s="551"/>
      <c r="GV21" s="551"/>
      <c r="GW21" s="551"/>
      <c r="GX21" s="551"/>
      <c r="GY21" s="551"/>
      <c r="GZ21" s="551"/>
      <c r="HA21" s="551"/>
      <c r="HB21" s="551"/>
      <c r="HC21" s="551"/>
      <c r="HD21" s="551"/>
      <c r="HE21" s="551"/>
      <c r="HF21" s="551"/>
      <c r="HG21" s="551"/>
      <c r="HH21" s="551"/>
      <c r="HI21" s="551"/>
      <c r="HJ21" s="551"/>
      <c r="HK21" s="551"/>
      <c r="HL21" s="551"/>
      <c r="HM21" s="551"/>
      <c r="HN21" s="551"/>
      <c r="HO21" s="551"/>
      <c r="HP21" s="551"/>
      <c r="HQ21" s="551"/>
      <c r="HR21" s="551"/>
      <c r="HS21" s="551"/>
      <c r="HT21" s="551"/>
      <c r="HU21" s="551"/>
      <c r="HV21" s="551"/>
      <c r="HW21" s="551"/>
      <c r="HX21" s="551"/>
      <c r="HY21" s="551"/>
      <c r="HZ21" s="551"/>
      <c r="IA21" s="551"/>
      <c r="IB21" s="551"/>
      <c r="IC21" s="551"/>
      <c r="ID21" s="551"/>
      <c r="IE21" s="551"/>
      <c r="IF21" s="551"/>
      <c r="IG21" s="551"/>
      <c r="IH21" s="551"/>
      <c r="II21" s="551"/>
      <c r="IJ21" s="551"/>
      <c r="IK21" s="551"/>
      <c r="IL21" s="551"/>
      <c r="IM21" s="551"/>
      <c r="IN21" s="551"/>
      <c r="IO21" s="551"/>
      <c r="IP21" s="551"/>
      <c r="IQ21" s="551"/>
      <c r="IR21" s="551"/>
      <c r="IS21" s="551"/>
      <c r="IT21" s="551"/>
      <c r="IU21" s="551"/>
      <c r="IV21" s="551"/>
    </row>
    <row r="22" spans="1:256" ht="14.25" x14ac:dyDescent="0.2">
      <c r="A22" s="546"/>
      <c r="B22" s="547" t="s">
        <v>479</v>
      </c>
      <c r="C22" s="548" t="s">
        <v>480</v>
      </c>
      <c r="D22" s="553">
        <v>13000</v>
      </c>
      <c r="AX22" s="551"/>
      <c r="AY22" s="551"/>
      <c r="AZ22" s="551"/>
      <c r="BA22" s="551"/>
      <c r="BB22" s="551"/>
      <c r="BC22" s="551"/>
      <c r="BD22" s="551"/>
      <c r="BE22" s="551"/>
      <c r="BF22" s="551"/>
      <c r="BG22" s="551"/>
      <c r="BH22" s="551"/>
      <c r="BI22" s="551"/>
      <c r="BJ22" s="551"/>
      <c r="BK22" s="551"/>
      <c r="BL22" s="551"/>
      <c r="BM22" s="551"/>
      <c r="BN22" s="551"/>
      <c r="BO22" s="551"/>
      <c r="BP22" s="551"/>
      <c r="BQ22" s="551"/>
      <c r="BR22" s="551"/>
      <c r="BS22" s="551"/>
      <c r="BT22" s="551"/>
      <c r="BU22" s="551"/>
      <c r="BV22" s="551"/>
      <c r="BW22" s="551"/>
      <c r="BX22" s="551"/>
      <c r="BY22" s="551"/>
      <c r="BZ22" s="551"/>
      <c r="CA22" s="551"/>
      <c r="CB22" s="551"/>
      <c r="CC22" s="551"/>
      <c r="CD22" s="551"/>
      <c r="CE22" s="551"/>
      <c r="CF22" s="551"/>
      <c r="CG22" s="551"/>
      <c r="CH22" s="551"/>
      <c r="CI22" s="551"/>
      <c r="CJ22" s="551"/>
      <c r="CK22" s="551"/>
      <c r="CL22" s="551"/>
      <c r="CM22" s="551"/>
      <c r="CN22" s="551"/>
      <c r="CO22" s="551"/>
      <c r="CP22" s="551"/>
      <c r="CQ22" s="551"/>
      <c r="CR22" s="551"/>
      <c r="CS22" s="551"/>
      <c r="CT22" s="551"/>
      <c r="CU22" s="551"/>
      <c r="CV22" s="551"/>
      <c r="CW22" s="551"/>
      <c r="CX22" s="551"/>
      <c r="CY22" s="551"/>
      <c r="CZ22" s="551"/>
      <c r="DA22" s="551"/>
      <c r="DB22" s="551"/>
      <c r="DC22" s="551"/>
      <c r="DD22" s="551"/>
      <c r="DE22" s="551"/>
      <c r="DF22" s="551"/>
      <c r="DG22" s="551"/>
      <c r="DH22" s="551"/>
      <c r="DI22" s="551"/>
      <c r="DJ22" s="551"/>
      <c r="DK22" s="551"/>
      <c r="DL22" s="551"/>
      <c r="DM22" s="551"/>
      <c r="DN22" s="551"/>
      <c r="DO22" s="551"/>
      <c r="DP22" s="551"/>
      <c r="DQ22" s="551"/>
      <c r="DR22" s="551"/>
      <c r="DS22" s="551"/>
      <c r="DT22" s="551"/>
      <c r="DU22" s="551"/>
      <c r="DV22" s="551"/>
      <c r="DW22" s="551"/>
      <c r="DX22" s="551"/>
      <c r="DY22" s="551"/>
      <c r="DZ22" s="551"/>
      <c r="EA22" s="551"/>
      <c r="EB22" s="551"/>
      <c r="EC22" s="551"/>
      <c r="ED22" s="551"/>
      <c r="EE22" s="551"/>
      <c r="EF22" s="551"/>
      <c r="EG22" s="551"/>
      <c r="EH22" s="551"/>
      <c r="EI22" s="551"/>
      <c r="EJ22" s="551"/>
      <c r="EK22" s="551"/>
      <c r="EL22" s="551"/>
      <c r="EM22" s="551"/>
      <c r="EN22" s="551"/>
      <c r="EO22" s="551"/>
      <c r="EP22" s="551"/>
      <c r="EQ22" s="551"/>
      <c r="ER22" s="551"/>
      <c r="ES22" s="551"/>
      <c r="ET22" s="551"/>
      <c r="EU22" s="551"/>
      <c r="EV22" s="551"/>
      <c r="EW22" s="551"/>
      <c r="EX22" s="551"/>
      <c r="EY22" s="551"/>
      <c r="EZ22" s="551"/>
      <c r="FA22" s="551"/>
      <c r="FB22" s="551"/>
      <c r="FC22" s="551"/>
      <c r="FD22" s="551"/>
      <c r="FE22" s="551"/>
      <c r="FF22" s="551"/>
      <c r="FG22" s="551"/>
      <c r="FH22" s="551"/>
      <c r="FI22" s="551"/>
      <c r="FJ22" s="551"/>
      <c r="FK22" s="551"/>
      <c r="FL22" s="551"/>
      <c r="FM22" s="551"/>
      <c r="FN22" s="551"/>
      <c r="FO22" s="551"/>
      <c r="FP22" s="551"/>
      <c r="FQ22" s="551"/>
      <c r="FR22" s="551"/>
      <c r="FS22" s="551"/>
      <c r="FT22" s="551"/>
      <c r="FU22" s="551"/>
      <c r="FV22" s="551"/>
      <c r="FW22" s="551"/>
      <c r="FX22" s="551"/>
      <c r="FY22" s="551"/>
      <c r="FZ22" s="551"/>
      <c r="GA22" s="551"/>
      <c r="GB22" s="551"/>
      <c r="GC22" s="551"/>
      <c r="GD22" s="551"/>
      <c r="GE22" s="551"/>
      <c r="GF22" s="551"/>
      <c r="GG22" s="551"/>
      <c r="GH22" s="551"/>
      <c r="GI22" s="551"/>
      <c r="GJ22" s="551"/>
      <c r="GK22" s="551"/>
      <c r="GL22" s="551"/>
      <c r="GM22" s="551"/>
      <c r="GN22" s="551"/>
      <c r="GO22" s="551"/>
      <c r="GP22" s="551"/>
      <c r="GQ22" s="551"/>
      <c r="GR22" s="551"/>
      <c r="GS22" s="551"/>
      <c r="GT22" s="551"/>
      <c r="GU22" s="551"/>
      <c r="GV22" s="551"/>
      <c r="GW22" s="551"/>
      <c r="GX22" s="551"/>
      <c r="GY22" s="551"/>
      <c r="GZ22" s="551"/>
      <c r="HA22" s="551"/>
      <c r="HB22" s="551"/>
      <c r="HC22" s="551"/>
      <c r="HD22" s="551"/>
      <c r="HE22" s="551"/>
      <c r="HF22" s="551"/>
      <c r="HG22" s="551"/>
      <c r="HH22" s="551"/>
      <c r="HI22" s="551"/>
      <c r="HJ22" s="551"/>
      <c r="HK22" s="551"/>
      <c r="HL22" s="551"/>
      <c r="HM22" s="551"/>
      <c r="HN22" s="551"/>
      <c r="HO22" s="551"/>
      <c r="HP22" s="551"/>
      <c r="HQ22" s="551"/>
      <c r="HR22" s="551"/>
      <c r="HS22" s="551"/>
      <c r="HT22" s="551"/>
      <c r="HU22" s="551"/>
      <c r="HV22" s="551"/>
      <c r="HW22" s="551"/>
      <c r="HX22" s="551"/>
      <c r="HY22" s="551"/>
      <c r="HZ22" s="551"/>
      <c r="IA22" s="551"/>
      <c r="IB22" s="551"/>
      <c r="IC22" s="551"/>
      <c r="ID22" s="551"/>
      <c r="IE22" s="551"/>
      <c r="IF22" s="551"/>
      <c r="IG22" s="551"/>
      <c r="IH22" s="551"/>
      <c r="II22" s="551"/>
      <c r="IJ22" s="551"/>
      <c r="IK22" s="551"/>
      <c r="IL22" s="551"/>
      <c r="IM22" s="551"/>
      <c r="IN22" s="551"/>
      <c r="IO22" s="551"/>
      <c r="IP22" s="551"/>
      <c r="IQ22" s="551"/>
      <c r="IR22" s="551"/>
      <c r="IS22" s="551"/>
      <c r="IT22" s="551"/>
      <c r="IU22" s="551"/>
      <c r="IV22" s="551"/>
    </row>
    <row r="23" spans="1:256" ht="14.25" x14ac:dyDescent="0.2">
      <c r="A23" s="546"/>
      <c r="B23" s="547" t="s">
        <v>481</v>
      </c>
      <c r="C23" s="548" t="s">
        <v>482</v>
      </c>
      <c r="D23" s="553">
        <v>5500</v>
      </c>
      <c r="AX23" s="551"/>
      <c r="AY23" s="551"/>
      <c r="AZ23" s="551"/>
      <c r="BA23" s="551"/>
      <c r="BB23" s="551"/>
      <c r="BC23" s="551"/>
      <c r="BD23" s="551"/>
      <c r="BE23" s="551"/>
      <c r="BF23" s="551"/>
      <c r="BG23" s="551"/>
      <c r="BH23" s="551"/>
      <c r="BI23" s="551"/>
      <c r="BJ23" s="551"/>
      <c r="BK23" s="551"/>
      <c r="BL23" s="551"/>
      <c r="BM23" s="551"/>
      <c r="BN23" s="551"/>
      <c r="BO23" s="551"/>
      <c r="BP23" s="551"/>
      <c r="BQ23" s="551"/>
      <c r="BR23" s="551"/>
      <c r="BS23" s="551"/>
      <c r="BT23" s="551"/>
      <c r="BU23" s="551"/>
      <c r="BV23" s="551"/>
      <c r="BW23" s="551"/>
      <c r="BX23" s="551"/>
      <c r="BY23" s="551"/>
      <c r="BZ23" s="551"/>
      <c r="CA23" s="551"/>
      <c r="CB23" s="551"/>
      <c r="CC23" s="551"/>
      <c r="CD23" s="551"/>
      <c r="CE23" s="551"/>
      <c r="CF23" s="551"/>
      <c r="CG23" s="551"/>
      <c r="CH23" s="551"/>
      <c r="CI23" s="551"/>
      <c r="CJ23" s="551"/>
      <c r="CK23" s="551"/>
      <c r="CL23" s="551"/>
      <c r="CM23" s="551"/>
      <c r="CN23" s="551"/>
      <c r="CO23" s="551"/>
      <c r="CP23" s="551"/>
      <c r="CQ23" s="551"/>
      <c r="CR23" s="551"/>
      <c r="CS23" s="551"/>
      <c r="CT23" s="551"/>
      <c r="CU23" s="551"/>
      <c r="CV23" s="551"/>
      <c r="CW23" s="551"/>
      <c r="CX23" s="551"/>
      <c r="CY23" s="551"/>
      <c r="CZ23" s="551"/>
      <c r="DA23" s="551"/>
      <c r="DB23" s="551"/>
      <c r="DC23" s="551"/>
      <c r="DD23" s="551"/>
      <c r="DE23" s="551"/>
      <c r="DF23" s="551"/>
      <c r="DG23" s="551"/>
      <c r="DH23" s="551"/>
      <c r="DI23" s="551"/>
      <c r="DJ23" s="551"/>
      <c r="DK23" s="551"/>
      <c r="DL23" s="551"/>
      <c r="DM23" s="551"/>
      <c r="DN23" s="551"/>
      <c r="DO23" s="551"/>
      <c r="DP23" s="551"/>
      <c r="DQ23" s="551"/>
      <c r="DR23" s="551"/>
      <c r="DS23" s="551"/>
      <c r="DT23" s="551"/>
      <c r="DU23" s="551"/>
      <c r="DV23" s="551"/>
      <c r="DW23" s="551"/>
      <c r="DX23" s="551"/>
      <c r="DY23" s="551"/>
      <c r="DZ23" s="551"/>
      <c r="EA23" s="551"/>
      <c r="EB23" s="551"/>
      <c r="EC23" s="551"/>
      <c r="ED23" s="551"/>
      <c r="EE23" s="551"/>
      <c r="EF23" s="551"/>
      <c r="EG23" s="551"/>
      <c r="EH23" s="551"/>
      <c r="EI23" s="551"/>
      <c r="EJ23" s="551"/>
      <c r="EK23" s="551"/>
      <c r="EL23" s="551"/>
      <c r="EM23" s="551"/>
      <c r="EN23" s="551"/>
      <c r="EO23" s="551"/>
      <c r="EP23" s="551"/>
      <c r="EQ23" s="551"/>
      <c r="ER23" s="551"/>
      <c r="ES23" s="551"/>
      <c r="ET23" s="551"/>
      <c r="EU23" s="551"/>
      <c r="EV23" s="551"/>
      <c r="EW23" s="551"/>
      <c r="EX23" s="551"/>
      <c r="EY23" s="551"/>
      <c r="EZ23" s="551"/>
      <c r="FA23" s="551"/>
      <c r="FB23" s="551"/>
      <c r="FC23" s="551"/>
      <c r="FD23" s="551"/>
      <c r="FE23" s="551"/>
      <c r="FF23" s="551"/>
      <c r="FG23" s="551"/>
      <c r="FH23" s="551"/>
      <c r="FI23" s="551"/>
      <c r="FJ23" s="551"/>
      <c r="FK23" s="551"/>
      <c r="FL23" s="551"/>
      <c r="FM23" s="551"/>
      <c r="FN23" s="551"/>
      <c r="FO23" s="551"/>
      <c r="FP23" s="551"/>
      <c r="FQ23" s="551"/>
      <c r="FR23" s="551"/>
      <c r="FS23" s="551"/>
      <c r="FT23" s="551"/>
      <c r="FU23" s="551"/>
      <c r="FV23" s="551"/>
      <c r="FW23" s="551"/>
      <c r="FX23" s="551"/>
      <c r="FY23" s="551"/>
      <c r="FZ23" s="551"/>
      <c r="GA23" s="551"/>
      <c r="GB23" s="551"/>
      <c r="GC23" s="551"/>
      <c r="GD23" s="551"/>
      <c r="GE23" s="551"/>
      <c r="GF23" s="551"/>
      <c r="GG23" s="551"/>
      <c r="GH23" s="551"/>
      <c r="GI23" s="551"/>
      <c r="GJ23" s="551"/>
      <c r="GK23" s="551"/>
      <c r="GL23" s="551"/>
      <c r="GM23" s="551"/>
      <c r="GN23" s="551"/>
      <c r="GO23" s="551"/>
      <c r="GP23" s="551"/>
      <c r="GQ23" s="551"/>
      <c r="GR23" s="551"/>
      <c r="GS23" s="551"/>
      <c r="GT23" s="551"/>
      <c r="GU23" s="551"/>
      <c r="GV23" s="551"/>
      <c r="GW23" s="551"/>
      <c r="GX23" s="551"/>
      <c r="GY23" s="551"/>
      <c r="GZ23" s="551"/>
      <c r="HA23" s="551"/>
      <c r="HB23" s="551"/>
      <c r="HC23" s="551"/>
      <c r="HD23" s="551"/>
      <c r="HE23" s="551"/>
      <c r="HF23" s="551"/>
      <c r="HG23" s="551"/>
      <c r="HH23" s="551"/>
      <c r="HI23" s="551"/>
      <c r="HJ23" s="551"/>
      <c r="HK23" s="551"/>
      <c r="HL23" s="551"/>
      <c r="HM23" s="551"/>
      <c r="HN23" s="551"/>
      <c r="HO23" s="551"/>
      <c r="HP23" s="551"/>
      <c r="HQ23" s="551"/>
      <c r="HR23" s="551"/>
      <c r="HS23" s="551"/>
      <c r="HT23" s="551"/>
      <c r="HU23" s="551"/>
      <c r="HV23" s="551"/>
      <c r="HW23" s="551"/>
      <c r="HX23" s="551"/>
      <c r="HY23" s="551"/>
      <c r="HZ23" s="551"/>
      <c r="IA23" s="551"/>
      <c r="IB23" s="551"/>
      <c r="IC23" s="551"/>
      <c r="ID23" s="551"/>
      <c r="IE23" s="551"/>
      <c r="IF23" s="551"/>
      <c r="IG23" s="551"/>
      <c r="IH23" s="551"/>
      <c r="II23" s="551"/>
      <c r="IJ23" s="551"/>
      <c r="IK23" s="551"/>
      <c r="IL23" s="551"/>
      <c r="IM23" s="551"/>
      <c r="IN23" s="551"/>
      <c r="IO23" s="551"/>
      <c r="IP23" s="551"/>
      <c r="IQ23" s="551"/>
      <c r="IR23" s="551"/>
      <c r="IS23" s="551"/>
      <c r="IT23" s="551"/>
      <c r="IU23" s="551"/>
      <c r="IV23" s="551"/>
    </row>
    <row r="24" spans="1:256" ht="14.25" x14ac:dyDescent="0.2">
      <c r="A24" s="546"/>
      <c r="B24" s="547" t="s">
        <v>483</v>
      </c>
      <c r="C24" s="548" t="s">
        <v>484</v>
      </c>
      <c r="D24" s="553">
        <v>8000</v>
      </c>
      <c r="AX24" s="551"/>
      <c r="AY24" s="551"/>
      <c r="AZ24" s="551"/>
      <c r="BA24" s="551"/>
      <c r="BB24" s="551"/>
      <c r="BC24" s="551"/>
      <c r="BD24" s="551"/>
      <c r="BE24" s="551"/>
      <c r="BF24" s="551"/>
      <c r="BG24" s="551"/>
      <c r="BH24" s="551"/>
      <c r="BI24" s="551"/>
      <c r="BJ24" s="551"/>
      <c r="BK24" s="551"/>
      <c r="BL24" s="551"/>
      <c r="BM24" s="551"/>
      <c r="BN24" s="551"/>
      <c r="BO24" s="551"/>
      <c r="BP24" s="551"/>
      <c r="BQ24" s="551"/>
      <c r="BR24" s="551"/>
      <c r="BS24" s="551"/>
      <c r="BT24" s="551"/>
      <c r="BU24" s="551"/>
      <c r="BV24" s="551"/>
      <c r="BW24" s="551"/>
      <c r="BX24" s="551"/>
      <c r="BY24" s="551"/>
      <c r="BZ24" s="551"/>
      <c r="CA24" s="551"/>
      <c r="CB24" s="551"/>
      <c r="CC24" s="551"/>
      <c r="CD24" s="551"/>
      <c r="CE24" s="551"/>
      <c r="CF24" s="551"/>
      <c r="CG24" s="551"/>
      <c r="CH24" s="551"/>
      <c r="CI24" s="551"/>
      <c r="CJ24" s="551"/>
      <c r="CK24" s="551"/>
      <c r="CL24" s="551"/>
      <c r="CM24" s="551"/>
      <c r="CN24" s="551"/>
      <c r="CO24" s="551"/>
      <c r="CP24" s="551"/>
      <c r="CQ24" s="551"/>
      <c r="CR24" s="551"/>
      <c r="CS24" s="551"/>
      <c r="CT24" s="551"/>
      <c r="CU24" s="551"/>
      <c r="CV24" s="551"/>
      <c r="CW24" s="551"/>
      <c r="CX24" s="551"/>
      <c r="CY24" s="551"/>
      <c r="CZ24" s="551"/>
      <c r="DA24" s="551"/>
      <c r="DB24" s="551"/>
      <c r="DC24" s="551"/>
      <c r="DD24" s="551"/>
      <c r="DE24" s="551"/>
      <c r="DF24" s="551"/>
      <c r="DG24" s="551"/>
      <c r="DH24" s="551"/>
      <c r="DI24" s="551"/>
      <c r="DJ24" s="551"/>
      <c r="DK24" s="551"/>
      <c r="DL24" s="551"/>
      <c r="DM24" s="551"/>
      <c r="DN24" s="551"/>
      <c r="DO24" s="551"/>
      <c r="DP24" s="551"/>
      <c r="DQ24" s="551"/>
      <c r="DR24" s="551"/>
      <c r="DS24" s="551"/>
      <c r="DT24" s="551"/>
      <c r="DU24" s="551"/>
      <c r="DV24" s="551"/>
      <c r="DW24" s="551"/>
      <c r="DX24" s="551"/>
      <c r="DY24" s="551"/>
      <c r="DZ24" s="551"/>
      <c r="EA24" s="551"/>
      <c r="EB24" s="551"/>
      <c r="EC24" s="551"/>
      <c r="ED24" s="551"/>
      <c r="EE24" s="551"/>
      <c r="EF24" s="551"/>
      <c r="EG24" s="551"/>
      <c r="EH24" s="551"/>
      <c r="EI24" s="551"/>
      <c r="EJ24" s="551"/>
      <c r="EK24" s="551"/>
      <c r="EL24" s="551"/>
      <c r="EM24" s="551"/>
      <c r="EN24" s="551"/>
      <c r="EO24" s="551"/>
      <c r="EP24" s="551"/>
      <c r="EQ24" s="551"/>
      <c r="ER24" s="551"/>
      <c r="ES24" s="551"/>
      <c r="ET24" s="551"/>
      <c r="EU24" s="551"/>
      <c r="EV24" s="551"/>
      <c r="EW24" s="551"/>
      <c r="EX24" s="551"/>
      <c r="EY24" s="551"/>
      <c r="EZ24" s="551"/>
      <c r="FA24" s="551"/>
      <c r="FB24" s="551"/>
      <c r="FC24" s="551"/>
      <c r="FD24" s="551"/>
      <c r="FE24" s="551"/>
      <c r="FF24" s="551"/>
      <c r="FG24" s="551"/>
      <c r="FH24" s="551"/>
      <c r="FI24" s="551"/>
      <c r="FJ24" s="551"/>
      <c r="FK24" s="551"/>
      <c r="FL24" s="551"/>
      <c r="FM24" s="551"/>
      <c r="FN24" s="551"/>
      <c r="FO24" s="551"/>
      <c r="FP24" s="551"/>
      <c r="FQ24" s="551"/>
      <c r="FR24" s="551"/>
      <c r="FS24" s="551"/>
      <c r="FT24" s="551"/>
      <c r="FU24" s="551"/>
      <c r="FV24" s="551"/>
      <c r="FW24" s="551"/>
      <c r="FX24" s="551"/>
      <c r="FY24" s="551"/>
      <c r="FZ24" s="551"/>
      <c r="GA24" s="551"/>
      <c r="GB24" s="551"/>
      <c r="GC24" s="551"/>
      <c r="GD24" s="551"/>
      <c r="GE24" s="551"/>
      <c r="GF24" s="551"/>
      <c r="GG24" s="551"/>
      <c r="GH24" s="551"/>
      <c r="GI24" s="551"/>
      <c r="GJ24" s="551"/>
      <c r="GK24" s="551"/>
      <c r="GL24" s="551"/>
      <c r="GM24" s="551"/>
      <c r="GN24" s="551"/>
      <c r="GO24" s="551"/>
      <c r="GP24" s="551"/>
      <c r="GQ24" s="551"/>
      <c r="GR24" s="551"/>
      <c r="GS24" s="551"/>
      <c r="GT24" s="551"/>
      <c r="GU24" s="551"/>
      <c r="GV24" s="551"/>
      <c r="GW24" s="551"/>
      <c r="GX24" s="551"/>
      <c r="GY24" s="551"/>
      <c r="GZ24" s="551"/>
      <c r="HA24" s="551"/>
      <c r="HB24" s="551"/>
      <c r="HC24" s="551"/>
      <c r="HD24" s="551"/>
      <c r="HE24" s="551"/>
      <c r="HF24" s="551"/>
      <c r="HG24" s="551"/>
      <c r="HH24" s="551"/>
      <c r="HI24" s="551"/>
      <c r="HJ24" s="551"/>
      <c r="HK24" s="551"/>
      <c r="HL24" s="551"/>
      <c r="HM24" s="551"/>
      <c r="HN24" s="551"/>
      <c r="HO24" s="551"/>
      <c r="HP24" s="551"/>
      <c r="HQ24" s="551"/>
      <c r="HR24" s="551"/>
      <c r="HS24" s="551"/>
      <c r="HT24" s="551"/>
      <c r="HU24" s="551"/>
      <c r="HV24" s="551"/>
      <c r="HW24" s="551"/>
      <c r="HX24" s="551"/>
      <c r="HY24" s="551"/>
      <c r="HZ24" s="551"/>
      <c r="IA24" s="551"/>
      <c r="IB24" s="551"/>
      <c r="IC24" s="551"/>
      <c r="ID24" s="551"/>
      <c r="IE24" s="551"/>
      <c r="IF24" s="551"/>
      <c r="IG24" s="551"/>
      <c r="IH24" s="551"/>
      <c r="II24" s="551"/>
      <c r="IJ24" s="551"/>
      <c r="IK24" s="551"/>
      <c r="IL24" s="551"/>
      <c r="IM24" s="551"/>
      <c r="IN24" s="551"/>
      <c r="IO24" s="551"/>
      <c r="IP24" s="551"/>
      <c r="IQ24" s="551"/>
      <c r="IR24" s="551"/>
      <c r="IS24" s="551"/>
      <c r="IT24" s="551"/>
      <c r="IU24" s="551"/>
      <c r="IV24" s="551"/>
    </row>
    <row r="25" spans="1:256" ht="14.25" x14ac:dyDescent="0.2">
      <c r="A25" s="546"/>
      <c r="B25" s="547" t="s">
        <v>485</v>
      </c>
      <c r="C25" s="548" t="s">
        <v>486</v>
      </c>
      <c r="D25" s="553">
        <v>4500</v>
      </c>
      <c r="AX25" s="551"/>
      <c r="AY25" s="551"/>
      <c r="AZ25" s="551"/>
      <c r="BA25" s="551"/>
      <c r="BB25" s="551"/>
      <c r="BC25" s="551"/>
      <c r="BD25" s="551"/>
      <c r="BE25" s="551"/>
      <c r="BF25" s="551"/>
      <c r="BG25" s="551"/>
      <c r="BH25" s="551"/>
      <c r="BI25" s="551"/>
      <c r="BJ25" s="551"/>
      <c r="BK25" s="551"/>
      <c r="BL25" s="551"/>
      <c r="BM25" s="551"/>
      <c r="BN25" s="551"/>
      <c r="BO25" s="551"/>
      <c r="BP25" s="551"/>
      <c r="BQ25" s="551"/>
      <c r="BR25" s="551"/>
      <c r="BS25" s="551"/>
      <c r="BT25" s="551"/>
      <c r="BU25" s="551"/>
      <c r="BV25" s="551"/>
      <c r="BW25" s="551"/>
      <c r="BX25" s="551"/>
      <c r="BY25" s="551"/>
      <c r="BZ25" s="551"/>
      <c r="CA25" s="551"/>
      <c r="CB25" s="551"/>
      <c r="CC25" s="551"/>
      <c r="CD25" s="551"/>
      <c r="CE25" s="551"/>
      <c r="CF25" s="551"/>
      <c r="CG25" s="551"/>
      <c r="CH25" s="551"/>
      <c r="CI25" s="551"/>
      <c r="CJ25" s="551"/>
      <c r="CK25" s="551"/>
      <c r="CL25" s="551"/>
      <c r="CM25" s="551"/>
      <c r="CN25" s="551"/>
      <c r="CO25" s="551"/>
      <c r="CP25" s="551"/>
      <c r="CQ25" s="551"/>
      <c r="CR25" s="551"/>
      <c r="CS25" s="551"/>
      <c r="CT25" s="551"/>
      <c r="CU25" s="551"/>
      <c r="CV25" s="551"/>
      <c r="CW25" s="551"/>
      <c r="CX25" s="551"/>
      <c r="CY25" s="551"/>
      <c r="CZ25" s="551"/>
      <c r="DA25" s="551"/>
      <c r="DB25" s="551"/>
      <c r="DC25" s="551"/>
      <c r="DD25" s="551"/>
      <c r="DE25" s="551"/>
      <c r="DF25" s="551"/>
      <c r="DG25" s="551"/>
      <c r="DH25" s="551"/>
      <c r="DI25" s="551"/>
      <c r="DJ25" s="551"/>
      <c r="DK25" s="551"/>
      <c r="DL25" s="551"/>
      <c r="DM25" s="551"/>
      <c r="DN25" s="551"/>
      <c r="DO25" s="551"/>
      <c r="DP25" s="551"/>
      <c r="DQ25" s="551"/>
      <c r="DR25" s="551"/>
      <c r="DS25" s="551"/>
      <c r="DT25" s="551"/>
      <c r="DU25" s="551"/>
      <c r="DV25" s="551"/>
      <c r="DW25" s="551"/>
      <c r="DX25" s="551"/>
      <c r="DY25" s="551"/>
      <c r="DZ25" s="551"/>
      <c r="EA25" s="551"/>
      <c r="EB25" s="551"/>
      <c r="EC25" s="551"/>
      <c r="ED25" s="551"/>
      <c r="EE25" s="551"/>
      <c r="EF25" s="551"/>
      <c r="EG25" s="551"/>
      <c r="EH25" s="551"/>
      <c r="EI25" s="551"/>
      <c r="EJ25" s="551"/>
      <c r="EK25" s="551"/>
      <c r="EL25" s="551"/>
      <c r="EM25" s="551"/>
      <c r="EN25" s="551"/>
      <c r="EO25" s="551"/>
      <c r="EP25" s="551"/>
      <c r="EQ25" s="551"/>
      <c r="ER25" s="551"/>
      <c r="ES25" s="551"/>
      <c r="ET25" s="551"/>
      <c r="EU25" s="551"/>
      <c r="EV25" s="551"/>
      <c r="EW25" s="551"/>
      <c r="EX25" s="551"/>
      <c r="EY25" s="551"/>
      <c r="EZ25" s="551"/>
      <c r="FA25" s="551"/>
      <c r="FB25" s="551"/>
      <c r="FC25" s="551"/>
      <c r="FD25" s="551"/>
      <c r="FE25" s="551"/>
      <c r="FF25" s="551"/>
      <c r="FG25" s="551"/>
      <c r="FH25" s="551"/>
      <c r="FI25" s="551"/>
      <c r="FJ25" s="551"/>
      <c r="FK25" s="551"/>
      <c r="FL25" s="551"/>
      <c r="FM25" s="551"/>
      <c r="FN25" s="551"/>
      <c r="FO25" s="551"/>
      <c r="FP25" s="551"/>
      <c r="FQ25" s="551"/>
      <c r="FR25" s="551"/>
      <c r="FS25" s="551"/>
      <c r="FT25" s="551"/>
      <c r="FU25" s="551"/>
      <c r="FV25" s="551"/>
      <c r="FW25" s="551"/>
      <c r="FX25" s="551"/>
      <c r="FY25" s="551"/>
      <c r="FZ25" s="551"/>
      <c r="GA25" s="551"/>
      <c r="GB25" s="551"/>
      <c r="GC25" s="551"/>
      <c r="GD25" s="551"/>
      <c r="GE25" s="551"/>
      <c r="GF25" s="551"/>
      <c r="GG25" s="551"/>
      <c r="GH25" s="551"/>
      <c r="GI25" s="551"/>
      <c r="GJ25" s="551"/>
      <c r="GK25" s="551"/>
      <c r="GL25" s="551"/>
      <c r="GM25" s="551"/>
      <c r="GN25" s="551"/>
      <c r="GO25" s="551"/>
      <c r="GP25" s="551"/>
      <c r="GQ25" s="551"/>
      <c r="GR25" s="551"/>
      <c r="GS25" s="551"/>
      <c r="GT25" s="551"/>
      <c r="GU25" s="551"/>
      <c r="GV25" s="551"/>
      <c r="GW25" s="551"/>
      <c r="GX25" s="551"/>
      <c r="GY25" s="551"/>
      <c r="GZ25" s="551"/>
      <c r="HA25" s="551"/>
      <c r="HB25" s="551"/>
      <c r="HC25" s="551"/>
      <c r="HD25" s="551"/>
      <c r="HE25" s="551"/>
      <c r="HF25" s="551"/>
      <c r="HG25" s="551"/>
      <c r="HH25" s="551"/>
      <c r="HI25" s="551"/>
      <c r="HJ25" s="551"/>
      <c r="HK25" s="551"/>
      <c r="HL25" s="551"/>
      <c r="HM25" s="551"/>
      <c r="HN25" s="551"/>
      <c r="HO25" s="551"/>
      <c r="HP25" s="551"/>
      <c r="HQ25" s="551"/>
      <c r="HR25" s="551"/>
      <c r="HS25" s="551"/>
      <c r="HT25" s="551"/>
      <c r="HU25" s="551"/>
      <c r="HV25" s="551"/>
      <c r="HW25" s="551"/>
      <c r="HX25" s="551"/>
      <c r="HY25" s="551"/>
      <c r="HZ25" s="551"/>
      <c r="IA25" s="551"/>
      <c r="IB25" s="551"/>
      <c r="IC25" s="551"/>
      <c r="ID25" s="551"/>
      <c r="IE25" s="551"/>
      <c r="IF25" s="551"/>
      <c r="IG25" s="551"/>
      <c r="IH25" s="551"/>
      <c r="II25" s="551"/>
      <c r="IJ25" s="551"/>
      <c r="IK25" s="551"/>
      <c r="IL25" s="551"/>
      <c r="IM25" s="551"/>
      <c r="IN25" s="551"/>
      <c r="IO25" s="551"/>
      <c r="IP25" s="551"/>
      <c r="IQ25" s="551"/>
      <c r="IR25" s="551"/>
      <c r="IS25" s="551"/>
      <c r="IT25" s="551"/>
      <c r="IU25" s="551"/>
      <c r="IV25" s="551"/>
    </row>
    <row r="26" spans="1:256" ht="14.25" x14ac:dyDescent="0.2">
      <c r="A26" s="546"/>
      <c r="B26" s="547" t="s">
        <v>487</v>
      </c>
      <c r="C26" s="548" t="s">
        <v>488</v>
      </c>
      <c r="D26" s="553">
        <v>10000</v>
      </c>
      <c r="AX26" s="551"/>
      <c r="AY26" s="551"/>
      <c r="AZ26" s="551"/>
      <c r="BA26" s="551"/>
      <c r="BB26" s="551"/>
      <c r="BC26" s="551"/>
      <c r="BD26" s="551"/>
      <c r="BE26" s="551"/>
      <c r="BF26" s="551"/>
      <c r="BG26" s="551"/>
      <c r="BH26" s="551"/>
      <c r="BI26" s="551"/>
      <c r="BJ26" s="551"/>
      <c r="BK26" s="551"/>
      <c r="BL26" s="551"/>
      <c r="BM26" s="551"/>
      <c r="BN26" s="551"/>
      <c r="BO26" s="551"/>
      <c r="BP26" s="551"/>
      <c r="BQ26" s="551"/>
      <c r="BR26" s="551"/>
      <c r="BS26" s="551"/>
      <c r="BT26" s="551"/>
      <c r="BU26" s="551"/>
      <c r="BV26" s="551"/>
      <c r="BW26" s="551"/>
      <c r="BX26" s="551"/>
      <c r="BY26" s="551"/>
      <c r="BZ26" s="551"/>
      <c r="CA26" s="551"/>
      <c r="CB26" s="551"/>
      <c r="CC26" s="551"/>
      <c r="CD26" s="551"/>
      <c r="CE26" s="551"/>
      <c r="CF26" s="551"/>
      <c r="CG26" s="551"/>
      <c r="CH26" s="551"/>
      <c r="CI26" s="551"/>
      <c r="CJ26" s="551"/>
      <c r="CK26" s="551"/>
      <c r="CL26" s="551"/>
      <c r="CM26" s="551"/>
      <c r="CN26" s="551"/>
      <c r="CO26" s="551"/>
      <c r="CP26" s="551"/>
      <c r="CQ26" s="551"/>
      <c r="CR26" s="551"/>
      <c r="CS26" s="551"/>
      <c r="CT26" s="551"/>
      <c r="CU26" s="551"/>
      <c r="CV26" s="551"/>
      <c r="CW26" s="551"/>
      <c r="CX26" s="551"/>
      <c r="CY26" s="551"/>
      <c r="CZ26" s="551"/>
      <c r="DA26" s="551"/>
      <c r="DB26" s="551"/>
      <c r="DC26" s="551"/>
      <c r="DD26" s="551"/>
      <c r="DE26" s="551"/>
      <c r="DF26" s="551"/>
      <c r="DG26" s="551"/>
      <c r="DH26" s="551"/>
      <c r="DI26" s="551"/>
      <c r="DJ26" s="551"/>
      <c r="DK26" s="551"/>
      <c r="DL26" s="551"/>
      <c r="DM26" s="551"/>
      <c r="DN26" s="551"/>
      <c r="DO26" s="551"/>
      <c r="DP26" s="551"/>
      <c r="DQ26" s="551"/>
      <c r="DR26" s="551"/>
      <c r="DS26" s="551"/>
      <c r="DT26" s="551"/>
      <c r="DU26" s="551"/>
      <c r="DV26" s="551"/>
      <c r="DW26" s="551"/>
      <c r="DX26" s="551"/>
      <c r="DY26" s="551"/>
      <c r="DZ26" s="551"/>
      <c r="EA26" s="551"/>
      <c r="EB26" s="551"/>
      <c r="EC26" s="551"/>
      <c r="ED26" s="551"/>
      <c r="EE26" s="551"/>
      <c r="EF26" s="551"/>
      <c r="EG26" s="551"/>
      <c r="EH26" s="551"/>
      <c r="EI26" s="551"/>
      <c r="EJ26" s="551"/>
      <c r="EK26" s="551"/>
      <c r="EL26" s="551"/>
      <c r="EM26" s="551"/>
      <c r="EN26" s="551"/>
      <c r="EO26" s="551"/>
      <c r="EP26" s="551"/>
      <c r="EQ26" s="551"/>
      <c r="ER26" s="551"/>
      <c r="ES26" s="551"/>
      <c r="ET26" s="551"/>
      <c r="EU26" s="551"/>
      <c r="EV26" s="551"/>
      <c r="EW26" s="551"/>
      <c r="EX26" s="551"/>
      <c r="EY26" s="551"/>
      <c r="EZ26" s="551"/>
      <c r="FA26" s="551"/>
      <c r="FB26" s="551"/>
      <c r="FC26" s="551"/>
      <c r="FD26" s="551"/>
      <c r="FE26" s="551"/>
      <c r="FF26" s="551"/>
      <c r="FG26" s="551"/>
      <c r="FH26" s="551"/>
      <c r="FI26" s="551"/>
      <c r="FJ26" s="551"/>
      <c r="FK26" s="551"/>
      <c r="FL26" s="551"/>
      <c r="FM26" s="551"/>
      <c r="FN26" s="551"/>
      <c r="FO26" s="551"/>
      <c r="FP26" s="551"/>
      <c r="FQ26" s="551"/>
      <c r="FR26" s="551"/>
      <c r="FS26" s="551"/>
      <c r="FT26" s="551"/>
      <c r="FU26" s="551"/>
      <c r="FV26" s="551"/>
      <c r="FW26" s="551"/>
      <c r="FX26" s="551"/>
      <c r="FY26" s="551"/>
      <c r="FZ26" s="551"/>
      <c r="GA26" s="551"/>
      <c r="GB26" s="551"/>
      <c r="GC26" s="551"/>
      <c r="GD26" s="551"/>
      <c r="GE26" s="551"/>
      <c r="GF26" s="551"/>
      <c r="GG26" s="551"/>
      <c r="GH26" s="551"/>
      <c r="GI26" s="551"/>
      <c r="GJ26" s="551"/>
      <c r="GK26" s="551"/>
      <c r="GL26" s="551"/>
      <c r="GM26" s="551"/>
      <c r="GN26" s="551"/>
      <c r="GO26" s="551"/>
      <c r="GP26" s="551"/>
      <c r="GQ26" s="551"/>
      <c r="GR26" s="551"/>
      <c r="GS26" s="551"/>
      <c r="GT26" s="551"/>
      <c r="GU26" s="551"/>
      <c r="GV26" s="551"/>
      <c r="GW26" s="551"/>
      <c r="GX26" s="551"/>
      <c r="GY26" s="551"/>
      <c r="GZ26" s="551"/>
      <c r="HA26" s="551"/>
      <c r="HB26" s="551"/>
      <c r="HC26" s="551"/>
      <c r="HD26" s="551"/>
      <c r="HE26" s="551"/>
      <c r="HF26" s="551"/>
      <c r="HG26" s="551"/>
      <c r="HH26" s="551"/>
      <c r="HI26" s="551"/>
      <c r="HJ26" s="551"/>
      <c r="HK26" s="551"/>
      <c r="HL26" s="551"/>
      <c r="HM26" s="551"/>
      <c r="HN26" s="551"/>
      <c r="HO26" s="551"/>
      <c r="HP26" s="551"/>
      <c r="HQ26" s="551"/>
      <c r="HR26" s="551"/>
      <c r="HS26" s="551"/>
      <c r="HT26" s="551"/>
      <c r="HU26" s="551"/>
      <c r="HV26" s="551"/>
      <c r="HW26" s="551"/>
      <c r="HX26" s="551"/>
      <c r="HY26" s="551"/>
      <c r="HZ26" s="551"/>
      <c r="IA26" s="551"/>
      <c r="IB26" s="551"/>
      <c r="IC26" s="551"/>
      <c r="ID26" s="551"/>
      <c r="IE26" s="551"/>
      <c r="IF26" s="551"/>
      <c r="IG26" s="551"/>
      <c r="IH26" s="551"/>
      <c r="II26" s="551"/>
      <c r="IJ26" s="551"/>
      <c r="IK26" s="551"/>
      <c r="IL26" s="551"/>
      <c r="IM26" s="551"/>
      <c r="IN26" s="551"/>
      <c r="IO26" s="551"/>
      <c r="IP26" s="551"/>
      <c r="IQ26" s="551"/>
      <c r="IR26" s="551"/>
      <c r="IS26" s="551"/>
      <c r="IT26" s="551"/>
      <c r="IU26" s="551"/>
      <c r="IV26" s="551"/>
    </row>
    <row r="27" spans="1:256" ht="15" thickBot="1" x14ac:dyDescent="0.25">
      <c r="A27" s="546"/>
      <c r="B27" s="547" t="s">
        <v>489</v>
      </c>
      <c r="C27" s="562" t="s">
        <v>94</v>
      </c>
      <c r="D27" s="563">
        <v>15000</v>
      </c>
      <c r="AX27" s="551"/>
      <c r="AY27" s="551"/>
      <c r="AZ27" s="551"/>
      <c r="BA27" s="551"/>
      <c r="BB27" s="551"/>
      <c r="BC27" s="551"/>
      <c r="BD27" s="551"/>
      <c r="BE27" s="551"/>
      <c r="BF27" s="551"/>
      <c r="BG27" s="551"/>
      <c r="BH27" s="551"/>
      <c r="BI27" s="551"/>
      <c r="BJ27" s="551"/>
      <c r="BK27" s="551"/>
      <c r="BL27" s="551"/>
      <c r="BM27" s="551"/>
      <c r="BN27" s="551"/>
      <c r="BO27" s="551"/>
      <c r="BP27" s="551"/>
      <c r="BQ27" s="551"/>
      <c r="BR27" s="551"/>
      <c r="BS27" s="551"/>
      <c r="BT27" s="551"/>
      <c r="BU27" s="551"/>
      <c r="BV27" s="551"/>
      <c r="BW27" s="551"/>
      <c r="BX27" s="551"/>
      <c r="BY27" s="551"/>
      <c r="BZ27" s="551"/>
      <c r="CA27" s="551"/>
      <c r="CB27" s="551"/>
      <c r="CC27" s="551"/>
      <c r="CD27" s="551"/>
      <c r="CE27" s="551"/>
      <c r="CF27" s="551"/>
      <c r="CG27" s="551"/>
      <c r="CH27" s="551"/>
      <c r="CI27" s="551"/>
      <c r="CJ27" s="551"/>
      <c r="CK27" s="551"/>
      <c r="CL27" s="551"/>
      <c r="CM27" s="551"/>
      <c r="CN27" s="551"/>
      <c r="CO27" s="551"/>
      <c r="CP27" s="551"/>
      <c r="CQ27" s="551"/>
      <c r="CR27" s="551"/>
      <c r="CS27" s="551"/>
      <c r="CT27" s="551"/>
      <c r="CU27" s="551"/>
      <c r="CV27" s="551"/>
      <c r="CW27" s="551"/>
      <c r="CX27" s="551"/>
      <c r="CY27" s="551"/>
      <c r="CZ27" s="551"/>
      <c r="DA27" s="551"/>
      <c r="DB27" s="551"/>
      <c r="DC27" s="551"/>
      <c r="DD27" s="551"/>
      <c r="DE27" s="551"/>
      <c r="DF27" s="551"/>
      <c r="DG27" s="551"/>
      <c r="DH27" s="551"/>
      <c r="DI27" s="551"/>
      <c r="DJ27" s="551"/>
      <c r="DK27" s="551"/>
      <c r="DL27" s="551"/>
      <c r="DM27" s="551"/>
      <c r="DN27" s="551"/>
      <c r="DO27" s="551"/>
      <c r="DP27" s="551"/>
      <c r="DQ27" s="551"/>
      <c r="DR27" s="551"/>
      <c r="DS27" s="551"/>
      <c r="DT27" s="551"/>
      <c r="DU27" s="551"/>
      <c r="DV27" s="551"/>
      <c r="DW27" s="551"/>
      <c r="DX27" s="551"/>
      <c r="DY27" s="551"/>
      <c r="DZ27" s="551"/>
      <c r="EA27" s="551"/>
      <c r="EB27" s="551"/>
      <c r="EC27" s="551"/>
      <c r="ED27" s="551"/>
      <c r="EE27" s="551"/>
      <c r="EF27" s="551"/>
      <c r="EG27" s="551"/>
      <c r="EH27" s="551"/>
      <c r="EI27" s="551"/>
      <c r="EJ27" s="551"/>
      <c r="EK27" s="551"/>
      <c r="EL27" s="551"/>
      <c r="EM27" s="551"/>
      <c r="EN27" s="551"/>
      <c r="EO27" s="551"/>
      <c r="EP27" s="551"/>
      <c r="EQ27" s="551"/>
      <c r="ER27" s="551"/>
      <c r="ES27" s="551"/>
      <c r="ET27" s="551"/>
      <c r="EU27" s="551"/>
      <c r="EV27" s="551"/>
      <c r="EW27" s="551"/>
      <c r="EX27" s="551"/>
      <c r="EY27" s="551"/>
      <c r="EZ27" s="551"/>
      <c r="FA27" s="551"/>
      <c r="FB27" s="551"/>
      <c r="FC27" s="551"/>
      <c r="FD27" s="551"/>
      <c r="FE27" s="551"/>
      <c r="FF27" s="551"/>
      <c r="FG27" s="551"/>
      <c r="FH27" s="551"/>
      <c r="FI27" s="551"/>
      <c r="FJ27" s="551"/>
      <c r="FK27" s="551"/>
      <c r="FL27" s="551"/>
      <c r="FM27" s="551"/>
      <c r="FN27" s="551"/>
      <c r="FO27" s="551"/>
      <c r="FP27" s="551"/>
      <c r="FQ27" s="551"/>
      <c r="FR27" s="551"/>
      <c r="FS27" s="551"/>
      <c r="FT27" s="551"/>
      <c r="FU27" s="551"/>
      <c r="FV27" s="551"/>
      <c r="FW27" s="551"/>
      <c r="FX27" s="551"/>
      <c r="FY27" s="551"/>
      <c r="FZ27" s="551"/>
      <c r="GA27" s="551"/>
      <c r="GB27" s="551"/>
      <c r="GC27" s="551"/>
      <c r="GD27" s="551"/>
      <c r="GE27" s="551"/>
      <c r="GF27" s="551"/>
      <c r="GG27" s="551"/>
      <c r="GH27" s="551"/>
      <c r="GI27" s="551"/>
      <c r="GJ27" s="551"/>
      <c r="GK27" s="551"/>
      <c r="GL27" s="551"/>
      <c r="GM27" s="551"/>
      <c r="GN27" s="551"/>
      <c r="GO27" s="551"/>
      <c r="GP27" s="551"/>
      <c r="GQ27" s="551"/>
      <c r="GR27" s="551"/>
      <c r="GS27" s="551"/>
      <c r="GT27" s="551"/>
      <c r="GU27" s="551"/>
      <c r="GV27" s="551"/>
      <c r="GW27" s="551"/>
      <c r="GX27" s="551"/>
      <c r="GY27" s="551"/>
      <c r="GZ27" s="551"/>
      <c r="HA27" s="551"/>
      <c r="HB27" s="551"/>
      <c r="HC27" s="551"/>
      <c r="HD27" s="551"/>
      <c r="HE27" s="551"/>
      <c r="HF27" s="551"/>
      <c r="HG27" s="551"/>
      <c r="HH27" s="551"/>
      <c r="HI27" s="551"/>
      <c r="HJ27" s="551"/>
      <c r="HK27" s="551"/>
      <c r="HL27" s="551"/>
      <c r="HM27" s="551"/>
      <c r="HN27" s="551"/>
      <c r="HO27" s="551"/>
      <c r="HP27" s="551"/>
      <c r="HQ27" s="551"/>
      <c r="HR27" s="551"/>
      <c r="HS27" s="551"/>
      <c r="HT27" s="551"/>
      <c r="HU27" s="551"/>
      <c r="HV27" s="551"/>
      <c r="HW27" s="551"/>
      <c r="HX27" s="551"/>
      <c r="HY27" s="551"/>
      <c r="HZ27" s="551"/>
      <c r="IA27" s="551"/>
      <c r="IB27" s="551"/>
      <c r="IC27" s="551"/>
      <c r="ID27" s="551"/>
      <c r="IE27" s="551"/>
      <c r="IF27" s="551"/>
      <c r="IG27" s="551"/>
      <c r="IH27" s="551"/>
      <c r="II27" s="551"/>
      <c r="IJ27" s="551"/>
      <c r="IK27" s="551"/>
      <c r="IL27" s="551"/>
      <c r="IM27" s="551"/>
      <c r="IN27" s="551"/>
      <c r="IO27" s="551"/>
      <c r="IP27" s="551"/>
      <c r="IQ27" s="551"/>
      <c r="IR27" s="551"/>
      <c r="IS27" s="551"/>
      <c r="IT27" s="551"/>
      <c r="IU27" s="551"/>
      <c r="IV27" s="551"/>
    </row>
    <row r="28" spans="1:256" ht="15" thickBot="1" x14ac:dyDescent="0.25">
      <c r="A28" s="546"/>
      <c r="B28" s="564"/>
      <c r="C28" s="565" t="s">
        <v>490</v>
      </c>
      <c r="D28" s="566">
        <f>SUM(D8:D27)</f>
        <v>222300</v>
      </c>
      <c r="AX28" s="551"/>
      <c r="AY28" s="551"/>
      <c r="AZ28" s="551"/>
      <c r="BA28" s="551"/>
      <c r="BB28" s="551"/>
      <c r="BC28" s="551"/>
      <c r="BD28" s="551"/>
      <c r="BE28" s="551"/>
      <c r="BF28" s="551"/>
      <c r="BG28" s="551"/>
      <c r="BH28" s="551"/>
      <c r="BI28" s="551"/>
      <c r="BJ28" s="551"/>
      <c r="BK28" s="551"/>
      <c r="BL28" s="551"/>
      <c r="BM28" s="551"/>
      <c r="BN28" s="551"/>
      <c r="BO28" s="551"/>
      <c r="BP28" s="551"/>
      <c r="BQ28" s="551"/>
      <c r="BR28" s="551"/>
      <c r="BS28" s="551"/>
      <c r="BT28" s="551"/>
      <c r="BU28" s="551"/>
      <c r="BV28" s="551"/>
      <c r="BW28" s="551"/>
      <c r="BX28" s="551"/>
      <c r="BY28" s="551"/>
      <c r="BZ28" s="551"/>
      <c r="CA28" s="551"/>
      <c r="CB28" s="551"/>
      <c r="CC28" s="551"/>
      <c r="CD28" s="551"/>
      <c r="CE28" s="551"/>
      <c r="CF28" s="551"/>
      <c r="CG28" s="551"/>
      <c r="CH28" s="551"/>
      <c r="CI28" s="551"/>
      <c r="CJ28" s="551"/>
      <c r="CK28" s="551"/>
      <c r="CL28" s="551"/>
      <c r="CM28" s="551"/>
      <c r="CN28" s="551"/>
      <c r="CO28" s="551"/>
      <c r="CP28" s="551"/>
      <c r="CQ28" s="551"/>
      <c r="CR28" s="551"/>
      <c r="CS28" s="551"/>
      <c r="CT28" s="551"/>
      <c r="CU28" s="551"/>
      <c r="CV28" s="551"/>
      <c r="CW28" s="551"/>
      <c r="CX28" s="551"/>
      <c r="CY28" s="551"/>
      <c r="CZ28" s="551"/>
      <c r="DA28" s="551"/>
      <c r="DB28" s="551"/>
      <c r="DC28" s="551"/>
      <c r="DD28" s="551"/>
      <c r="DE28" s="551"/>
      <c r="DF28" s="551"/>
      <c r="DG28" s="551"/>
      <c r="DH28" s="551"/>
      <c r="DI28" s="551"/>
      <c r="DJ28" s="551"/>
      <c r="DK28" s="551"/>
      <c r="DL28" s="551"/>
      <c r="DM28" s="551"/>
      <c r="DN28" s="551"/>
      <c r="DO28" s="551"/>
      <c r="DP28" s="551"/>
      <c r="DQ28" s="551"/>
      <c r="DR28" s="551"/>
      <c r="DS28" s="551"/>
      <c r="DT28" s="551"/>
      <c r="DU28" s="551"/>
      <c r="DV28" s="551"/>
      <c r="DW28" s="551"/>
      <c r="DX28" s="551"/>
      <c r="DY28" s="551"/>
      <c r="DZ28" s="551"/>
      <c r="EA28" s="551"/>
      <c r="EB28" s="551"/>
      <c r="EC28" s="551"/>
      <c r="ED28" s="551"/>
      <c r="EE28" s="551"/>
      <c r="EF28" s="551"/>
      <c r="EG28" s="551"/>
      <c r="EH28" s="551"/>
      <c r="EI28" s="551"/>
      <c r="EJ28" s="551"/>
      <c r="EK28" s="551"/>
      <c r="EL28" s="551"/>
      <c r="EM28" s="551"/>
      <c r="EN28" s="551"/>
      <c r="EO28" s="551"/>
      <c r="EP28" s="551"/>
      <c r="EQ28" s="551"/>
      <c r="ER28" s="551"/>
      <c r="ES28" s="551"/>
      <c r="ET28" s="551"/>
      <c r="EU28" s="551"/>
      <c r="EV28" s="551"/>
      <c r="EW28" s="551"/>
      <c r="EX28" s="551"/>
      <c r="EY28" s="551"/>
      <c r="EZ28" s="551"/>
      <c r="FA28" s="551"/>
      <c r="FB28" s="551"/>
      <c r="FC28" s="551"/>
      <c r="FD28" s="551"/>
      <c r="FE28" s="551"/>
      <c r="FF28" s="551"/>
      <c r="FG28" s="551"/>
      <c r="FH28" s="551"/>
      <c r="FI28" s="551"/>
      <c r="FJ28" s="551"/>
      <c r="FK28" s="551"/>
      <c r="FL28" s="551"/>
      <c r="FM28" s="551"/>
      <c r="FN28" s="551"/>
      <c r="FO28" s="551"/>
      <c r="FP28" s="551"/>
      <c r="FQ28" s="551"/>
      <c r="FR28" s="551"/>
      <c r="FS28" s="551"/>
      <c r="FT28" s="551"/>
      <c r="FU28" s="551"/>
      <c r="FV28" s="551"/>
      <c r="FW28" s="551"/>
      <c r="FX28" s="551"/>
      <c r="FY28" s="551"/>
      <c r="FZ28" s="551"/>
      <c r="GA28" s="551"/>
      <c r="GB28" s="551"/>
      <c r="GC28" s="551"/>
      <c r="GD28" s="551"/>
      <c r="GE28" s="551"/>
      <c r="GF28" s="551"/>
      <c r="GG28" s="551"/>
      <c r="GH28" s="551"/>
      <c r="GI28" s="551"/>
      <c r="GJ28" s="551"/>
      <c r="GK28" s="551"/>
      <c r="GL28" s="551"/>
      <c r="GM28" s="551"/>
      <c r="GN28" s="551"/>
      <c r="GO28" s="551"/>
      <c r="GP28" s="551"/>
      <c r="GQ28" s="551"/>
      <c r="GR28" s="551"/>
      <c r="GS28" s="551"/>
      <c r="GT28" s="551"/>
      <c r="GU28" s="551"/>
      <c r="GV28" s="551"/>
      <c r="GW28" s="551"/>
      <c r="GX28" s="551"/>
      <c r="GY28" s="551"/>
      <c r="GZ28" s="551"/>
      <c r="HA28" s="551"/>
      <c r="HB28" s="551"/>
      <c r="HC28" s="551"/>
      <c r="HD28" s="551"/>
      <c r="HE28" s="551"/>
      <c r="HF28" s="551"/>
      <c r="HG28" s="551"/>
      <c r="HH28" s="551"/>
      <c r="HI28" s="551"/>
      <c r="HJ28" s="551"/>
      <c r="HK28" s="551"/>
      <c r="HL28" s="551"/>
      <c r="HM28" s="551"/>
      <c r="HN28" s="551"/>
      <c r="HO28" s="551"/>
      <c r="HP28" s="551"/>
      <c r="HQ28" s="551"/>
      <c r="HR28" s="551"/>
      <c r="HS28" s="551"/>
      <c r="HT28" s="551"/>
      <c r="HU28" s="551"/>
      <c r="HV28" s="551"/>
      <c r="HW28" s="551"/>
      <c r="HX28" s="551"/>
      <c r="HY28" s="551"/>
      <c r="HZ28" s="551"/>
      <c r="IA28" s="551"/>
      <c r="IB28" s="551"/>
      <c r="IC28" s="551"/>
      <c r="ID28" s="551"/>
      <c r="IE28" s="551"/>
      <c r="IF28" s="551"/>
      <c r="IG28" s="551"/>
      <c r="IH28" s="551"/>
      <c r="II28" s="551"/>
      <c r="IJ28" s="551"/>
      <c r="IK28" s="551"/>
      <c r="IL28" s="551"/>
      <c r="IM28" s="551"/>
      <c r="IN28" s="551"/>
      <c r="IO28" s="551"/>
      <c r="IP28" s="551"/>
      <c r="IQ28" s="551"/>
      <c r="IR28" s="551"/>
      <c r="IS28" s="551"/>
      <c r="IT28" s="551"/>
      <c r="IU28" s="551"/>
      <c r="IV28" s="551"/>
    </row>
    <row r="29" spans="1:256" x14ac:dyDescent="0.2">
      <c r="A29" s="567"/>
      <c r="E29" s="568"/>
      <c r="F29" s="568"/>
      <c r="G29" s="568"/>
      <c r="H29" s="568"/>
      <c r="I29" s="568"/>
      <c r="J29" s="568"/>
      <c r="K29" s="568"/>
      <c r="L29" s="568"/>
      <c r="M29" s="568"/>
      <c r="N29" s="568"/>
      <c r="O29" s="568"/>
      <c r="P29" s="568"/>
      <c r="Q29" s="568"/>
      <c r="R29" s="568"/>
      <c r="S29" s="568"/>
      <c r="T29" s="568"/>
      <c r="U29" s="568"/>
      <c r="V29" s="568"/>
      <c r="W29" s="568"/>
      <c r="X29" s="568"/>
      <c r="Y29" s="568"/>
      <c r="Z29" s="568"/>
      <c r="AA29" s="568"/>
      <c r="AB29" s="568"/>
      <c r="AC29" s="568"/>
      <c r="AD29" s="568"/>
      <c r="AE29" s="568"/>
      <c r="AF29" s="568"/>
      <c r="AG29" s="568"/>
      <c r="AH29" s="568"/>
      <c r="AI29" s="568"/>
      <c r="AJ29" s="568"/>
      <c r="AK29" s="568"/>
      <c r="AL29" s="568"/>
      <c r="AM29" s="568"/>
      <c r="AN29" s="568"/>
      <c r="AO29" s="568"/>
      <c r="AP29" s="568"/>
      <c r="AQ29" s="568"/>
      <c r="AR29" s="568"/>
      <c r="AS29" s="568"/>
      <c r="AT29" s="568"/>
      <c r="AU29" s="568"/>
      <c r="AV29" s="568"/>
      <c r="AW29" s="568"/>
      <c r="AX29" s="569"/>
      <c r="AY29" s="569"/>
      <c r="AZ29" s="569"/>
      <c r="BA29" s="569"/>
      <c r="BB29" s="569"/>
      <c r="BC29" s="569"/>
      <c r="BD29" s="569"/>
      <c r="BE29" s="569"/>
      <c r="BF29" s="569"/>
      <c r="BG29" s="569"/>
      <c r="BH29" s="569"/>
      <c r="BI29" s="569"/>
      <c r="BJ29" s="569"/>
      <c r="BK29" s="569"/>
      <c r="BL29" s="569"/>
      <c r="BM29" s="569"/>
      <c r="BN29" s="569"/>
      <c r="BO29" s="569"/>
      <c r="BP29" s="569"/>
      <c r="BQ29" s="569"/>
      <c r="BR29" s="569"/>
      <c r="BS29" s="569"/>
      <c r="BT29" s="569"/>
      <c r="BU29" s="569"/>
      <c r="BV29" s="569"/>
      <c r="BW29" s="569"/>
      <c r="BX29" s="569"/>
      <c r="BY29" s="569"/>
      <c r="BZ29" s="569"/>
      <c r="CA29" s="569"/>
      <c r="CB29" s="569"/>
      <c r="CC29" s="569"/>
      <c r="CD29" s="569"/>
      <c r="CE29" s="569"/>
      <c r="CF29" s="569"/>
      <c r="CG29" s="569"/>
      <c r="CH29" s="569"/>
      <c r="CI29" s="569"/>
      <c r="CJ29" s="569"/>
      <c r="CK29" s="569"/>
      <c r="CL29" s="569"/>
      <c r="CM29" s="569"/>
      <c r="CN29" s="569"/>
      <c r="CO29" s="569"/>
      <c r="CP29" s="569"/>
      <c r="CQ29" s="569"/>
      <c r="CR29" s="569"/>
      <c r="CS29" s="569"/>
      <c r="CT29" s="569"/>
      <c r="CU29" s="569"/>
      <c r="CV29" s="569"/>
      <c r="CW29" s="569"/>
      <c r="CX29" s="569"/>
      <c r="CY29" s="569"/>
      <c r="CZ29" s="569"/>
      <c r="DA29" s="569"/>
      <c r="DB29" s="569"/>
      <c r="DC29" s="569"/>
      <c r="DD29" s="569"/>
      <c r="DE29" s="569"/>
      <c r="DF29" s="569"/>
      <c r="DG29" s="569"/>
      <c r="DH29" s="569"/>
      <c r="DI29" s="569"/>
      <c r="DJ29" s="569"/>
      <c r="DK29" s="569"/>
      <c r="DL29" s="569"/>
      <c r="DM29" s="569"/>
      <c r="DN29" s="569"/>
      <c r="DO29" s="569"/>
      <c r="DP29" s="569"/>
      <c r="DQ29" s="569"/>
      <c r="DR29" s="569"/>
      <c r="DS29" s="569"/>
      <c r="DT29" s="569"/>
      <c r="DU29" s="569"/>
      <c r="DV29" s="569"/>
      <c r="DW29" s="569"/>
      <c r="DX29" s="569"/>
      <c r="DY29" s="569"/>
      <c r="DZ29" s="569"/>
      <c r="EA29" s="569"/>
      <c r="EB29" s="569"/>
      <c r="EC29" s="569"/>
      <c r="ED29" s="569"/>
      <c r="EE29" s="569"/>
      <c r="EF29" s="569"/>
      <c r="EG29" s="569"/>
      <c r="EH29" s="569"/>
      <c r="EI29" s="569"/>
      <c r="EJ29" s="569"/>
      <c r="EK29" s="569"/>
      <c r="EL29" s="569"/>
      <c r="EM29" s="569"/>
      <c r="EN29" s="569"/>
      <c r="EO29" s="569"/>
      <c r="EP29" s="569"/>
      <c r="EQ29" s="569"/>
      <c r="ER29" s="569"/>
      <c r="ES29" s="569"/>
      <c r="ET29" s="569"/>
      <c r="EU29" s="569"/>
      <c r="EV29" s="569"/>
      <c r="EW29" s="569"/>
      <c r="EX29" s="569"/>
      <c r="EY29" s="569"/>
      <c r="EZ29" s="569"/>
      <c r="FA29" s="569"/>
      <c r="FB29" s="569"/>
      <c r="FC29" s="569"/>
      <c r="FD29" s="569"/>
      <c r="FE29" s="569"/>
      <c r="FF29" s="569"/>
      <c r="FG29" s="569"/>
      <c r="FH29" s="569"/>
      <c r="FI29" s="569"/>
      <c r="FJ29" s="569"/>
      <c r="FK29" s="569"/>
      <c r="FL29" s="569"/>
      <c r="FM29" s="569"/>
      <c r="FN29" s="569"/>
      <c r="FO29" s="569"/>
      <c r="FP29" s="569"/>
      <c r="FQ29" s="569"/>
      <c r="FR29" s="569"/>
      <c r="FS29" s="569"/>
      <c r="FT29" s="569"/>
      <c r="FU29" s="569"/>
      <c r="FV29" s="569"/>
      <c r="FW29" s="569"/>
      <c r="FX29" s="569"/>
      <c r="FY29" s="569"/>
      <c r="FZ29" s="569"/>
      <c r="GA29" s="569"/>
      <c r="GB29" s="569"/>
      <c r="GC29" s="569"/>
      <c r="GD29" s="569"/>
      <c r="GE29" s="569"/>
      <c r="GF29" s="569"/>
      <c r="GG29" s="569"/>
      <c r="GH29" s="569"/>
      <c r="GI29" s="569"/>
      <c r="GJ29" s="569"/>
      <c r="GK29" s="569"/>
      <c r="GL29" s="569"/>
      <c r="GM29" s="569"/>
      <c r="GN29" s="569"/>
      <c r="GO29" s="569"/>
      <c r="GP29" s="569"/>
      <c r="GQ29" s="569"/>
      <c r="GR29" s="569"/>
      <c r="GS29" s="569"/>
      <c r="GT29" s="569"/>
      <c r="GU29" s="569"/>
      <c r="GV29" s="569"/>
      <c r="GW29" s="569"/>
      <c r="GX29" s="569"/>
      <c r="GY29" s="569"/>
      <c r="GZ29" s="569"/>
      <c r="HA29" s="569"/>
      <c r="HB29" s="569"/>
      <c r="HC29" s="569"/>
      <c r="HD29" s="569"/>
      <c r="HE29" s="569"/>
      <c r="HF29" s="569"/>
      <c r="HG29" s="569"/>
      <c r="HH29" s="569"/>
      <c r="HI29" s="569"/>
      <c r="HJ29" s="569"/>
      <c r="HK29" s="569"/>
      <c r="HL29" s="569"/>
      <c r="HM29" s="569"/>
      <c r="HN29" s="569"/>
      <c r="HO29" s="569"/>
      <c r="HP29" s="569"/>
      <c r="HQ29" s="569"/>
      <c r="HR29" s="569"/>
      <c r="HS29" s="569"/>
      <c r="HT29" s="569"/>
      <c r="HU29" s="569"/>
      <c r="HV29" s="569"/>
      <c r="HW29" s="569"/>
      <c r="HX29" s="569"/>
      <c r="HY29" s="569"/>
      <c r="HZ29" s="569"/>
      <c r="IA29" s="569"/>
      <c r="IB29" s="569"/>
      <c r="IC29" s="569"/>
      <c r="ID29" s="569"/>
      <c r="IE29" s="569"/>
      <c r="IF29" s="569"/>
      <c r="IG29" s="569"/>
      <c r="IH29" s="569"/>
      <c r="II29" s="569"/>
      <c r="IJ29" s="569"/>
      <c r="IK29" s="569"/>
      <c r="IL29" s="569"/>
      <c r="IM29" s="569"/>
      <c r="IN29" s="569"/>
      <c r="IO29" s="569"/>
      <c r="IP29" s="569"/>
      <c r="IQ29" s="569"/>
      <c r="IR29" s="569"/>
      <c r="IS29" s="569"/>
      <c r="IT29" s="569"/>
      <c r="IU29" s="569"/>
      <c r="IV29" s="569"/>
    </row>
    <row r="30" spans="1:256" x14ac:dyDescent="0.2">
      <c r="B30" s="536"/>
      <c r="CE30" s="538"/>
      <c r="CF30" s="538"/>
      <c r="CG30" s="538"/>
      <c r="CH30" s="538"/>
      <c r="CI30" s="538"/>
      <c r="CJ30" s="538"/>
      <c r="CK30" s="538"/>
      <c r="CL30" s="538"/>
      <c r="CM30" s="538"/>
      <c r="CN30" s="538"/>
      <c r="CO30" s="538"/>
      <c r="CP30" s="538"/>
      <c r="CQ30" s="538"/>
      <c r="CR30" s="538"/>
      <c r="CS30" s="538"/>
      <c r="CT30" s="538"/>
      <c r="CU30" s="538"/>
      <c r="CV30" s="538"/>
      <c r="CW30" s="538"/>
      <c r="CX30" s="538"/>
      <c r="CY30" s="538"/>
      <c r="CZ30" s="538"/>
      <c r="DA30" s="538"/>
      <c r="DB30" s="538"/>
      <c r="DC30" s="538"/>
      <c r="DD30" s="538"/>
      <c r="DE30" s="538"/>
      <c r="DF30" s="538"/>
      <c r="DG30" s="538"/>
      <c r="DH30" s="538"/>
      <c r="DI30" s="538"/>
      <c r="DJ30" s="538"/>
      <c r="DK30" s="538"/>
      <c r="DL30" s="538"/>
      <c r="DM30" s="538"/>
      <c r="DN30" s="538"/>
      <c r="DO30" s="538"/>
      <c r="DP30" s="538"/>
      <c r="DQ30" s="538"/>
      <c r="DR30" s="538"/>
      <c r="DS30" s="538"/>
      <c r="DT30" s="538"/>
      <c r="DU30" s="538"/>
      <c r="DV30" s="538"/>
      <c r="DW30" s="538"/>
      <c r="DX30" s="538"/>
      <c r="DY30" s="538"/>
      <c r="DZ30" s="538"/>
      <c r="EA30" s="538"/>
      <c r="EB30" s="538"/>
      <c r="EC30" s="538"/>
      <c r="ED30" s="538"/>
      <c r="EE30" s="538"/>
      <c r="EF30" s="538"/>
      <c r="EG30" s="538"/>
      <c r="EH30" s="538"/>
      <c r="EI30" s="538"/>
      <c r="EJ30" s="538"/>
      <c r="EK30" s="538"/>
      <c r="EL30" s="538"/>
      <c r="EM30" s="538"/>
      <c r="EN30" s="538"/>
      <c r="EO30" s="538"/>
      <c r="EP30" s="538"/>
      <c r="EQ30" s="538"/>
      <c r="ER30" s="538"/>
      <c r="ES30" s="538"/>
      <c r="ET30" s="538"/>
      <c r="EU30" s="538"/>
      <c r="EV30" s="538"/>
      <c r="EW30" s="538"/>
      <c r="EX30" s="538"/>
      <c r="EY30" s="538"/>
      <c r="EZ30" s="538"/>
      <c r="FA30" s="538"/>
      <c r="FB30" s="538"/>
      <c r="FC30" s="538"/>
      <c r="FD30" s="538"/>
      <c r="FE30" s="538"/>
      <c r="FF30" s="538"/>
      <c r="FG30" s="538"/>
      <c r="FH30" s="538"/>
      <c r="FI30" s="538"/>
      <c r="FJ30" s="538"/>
      <c r="FK30" s="538"/>
      <c r="FL30" s="538"/>
      <c r="FM30" s="538"/>
      <c r="FN30" s="538"/>
      <c r="FO30" s="538"/>
      <c r="FP30" s="538"/>
      <c r="FQ30" s="538"/>
      <c r="FR30" s="538"/>
      <c r="FS30" s="538"/>
      <c r="FT30" s="538"/>
      <c r="FU30" s="538"/>
      <c r="FV30" s="538"/>
      <c r="FW30" s="538"/>
      <c r="FX30" s="538"/>
      <c r="FY30" s="538"/>
      <c r="FZ30" s="538"/>
      <c r="GA30" s="538"/>
      <c r="GB30" s="538"/>
      <c r="GC30" s="538"/>
      <c r="GD30" s="538"/>
      <c r="GE30" s="538"/>
      <c r="GF30" s="538"/>
      <c r="GG30" s="538"/>
      <c r="GH30" s="538"/>
      <c r="GI30" s="538"/>
      <c r="GJ30" s="538"/>
      <c r="GK30" s="538"/>
      <c r="GL30" s="538"/>
      <c r="GM30" s="538"/>
      <c r="GN30" s="538"/>
      <c r="GO30" s="538"/>
      <c r="GP30" s="538"/>
      <c r="GQ30" s="538"/>
      <c r="GR30" s="538"/>
      <c r="GS30" s="538"/>
      <c r="GT30" s="538"/>
      <c r="GU30" s="538"/>
      <c r="GV30" s="538"/>
      <c r="GW30" s="538"/>
      <c r="GX30" s="538"/>
      <c r="GY30" s="538"/>
      <c r="GZ30" s="538"/>
      <c r="HA30" s="538"/>
      <c r="HB30" s="538"/>
      <c r="HC30" s="538"/>
      <c r="HD30" s="538"/>
      <c r="HE30" s="538"/>
      <c r="HF30" s="538"/>
      <c r="HG30" s="538"/>
      <c r="HH30" s="538"/>
      <c r="HI30" s="538"/>
      <c r="HJ30" s="538"/>
      <c r="HK30" s="538"/>
      <c r="HL30" s="538"/>
      <c r="HM30" s="538"/>
      <c r="HN30" s="538"/>
      <c r="HO30" s="538"/>
      <c r="HP30" s="538"/>
      <c r="HQ30" s="538"/>
      <c r="HR30" s="538"/>
      <c r="HS30" s="538"/>
      <c r="HT30" s="538"/>
      <c r="HU30" s="538"/>
      <c r="HV30" s="538"/>
      <c r="HW30" s="538"/>
      <c r="HX30" s="538"/>
      <c r="HY30" s="538"/>
      <c r="HZ30" s="538"/>
      <c r="IA30" s="538"/>
      <c r="IB30" s="538"/>
      <c r="IC30" s="538"/>
      <c r="ID30" s="538"/>
      <c r="IE30" s="538"/>
      <c r="IF30" s="538"/>
      <c r="IG30" s="538"/>
      <c r="IH30" s="538"/>
      <c r="II30" s="538"/>
      <c r="IJ30" s="538"/>
      <c r="IK30" s="538"/>
      <c r="IL30" s="538"/>
      <c r="IM30" s="538"/>
      <c r="IN30" s="538"/>
      <c r="IO30" s="538"/>
      <c r="IP30" s="538"/>
      <c r="IQ30" s="538"/>
      <c r="IR30" s="538"/>
      <c r="IS30" s="538"/>
      <c r="IT30" s="538"/>
      <c r="IU30" s="538"/>
      <c r="IV30" s="538"/>
    </row>
    <row r="31" spans="1:256" x14ac:dyDescent="0.2">
      <c r="C31" s="539"/>
      <c r="D31" s="570"/>
    </row>
    <row r="33" spans="1:256" x14ac:dyDescent="0.2">
      <c r="A33" s="546"/>
      <c r="B33" s="551"/>
      <c r="C33" s="551"/>
      <c r="D33" s="551"/>
      <c r="E33" s="551"/>
      <c r="AX33" s="551"/>
      <c r="AY33" s="551"/>
      <c r="AZ33" s="551"/>
      <c r="BA33" s="551"/>
      <c r="BB33" s="551"/>
      <c r="BC33" s="551"/>
      <c r="BD33" s="551"/>
      <c r="BE33" s="551"/>
      <c r="BF33" s="551"/>
      <c r="BG33" s="551"/>
      <c r="BH33" s="551"/>
      <c r="BI33" s="551"/>
      <c r="BJ33" s="551"/>
      <c r="BK33" s="551"/>
      <c r="BL33" s="551"/>
      <c r="BM33" s="551"/>
      <c r="BN33" s="551"/>
      <c r="BO33" s="551"/>
      <c r="BP33" s="551"/>
      <c r="BQ33" s="551"/>
      <c r="BR33" s="551"/>
      <c r="BS33" s="551"/>
      <c r="BT33" s="551"/>
      <c r="BU33" s="551"/>
      <c r="BV33" s="551"/>
      <c r="BW33" s="551"/>
      <c r="BX33" s="551"/>
      <c r="BY33" s="551"/>
      <c r="BZ33" s="551"/>
      <c r="CA33" s="551"/>
      <c r="CB33" s="551"/>
      <c r="CC33" s="551"/>
      <c r="CD33" s="551"/>
      <c r="CE33" s="551"/>
      <c r="CF33" s="551"/>
      <c r="CG33" s="551"/>
      <c r="CH33" s="551"/>
      <c r="CI33" s="551"/>
      <c r="CJ33" s="551"/>
      <c r="CK33" s="551"/>
      <c r="CL33" s="551"/>
      <c r="CM33" s="551"/>
      <c r="CN33" s="551"/>
      <c r="CO33" s="551"/>
      <c r="CP33" s="551"/>
      <c r="CQ33" s="551"/>
      <c r="CR33" s="551"/>
      <c r="CS33" s="551"/>
      <c r="CT33" s="551"/>
      <c r="CU33" s="551"/>
      <c r="CV33" s="551"/>
      <c r="CW33" s="551"/>
      <c r="CX33" s="551"/>
      <c r="CY33" s="551"/>
      <c r="CZ33" s="551"/>
      <c r="DA33" s="551"/>
      <c r="DB33" s="551"/>
      <c r="DC33" s="551"/>
      <c r="DD33" s="551"/>
      <c r="DE33" s="551"/>
      <c r="DF33" s="551"/>
      <c r="DG33" s="551"/>
      <c r="DH33" s="551"/>
      <c r="DI33" s="551"/>
      <c r="DJ33" s="551"/>
      <c r="DK33" s="551"/>
      <c r="DL33" s="551"/>
      <c r="DM33" s="551"/>
      <c r="DN33" s="551"/>
      <c r="DO33" s="551"/>
      <c r="DP33" s="551"/>
      <c r="DQ33" s="551"/>
      <c r="DR33" s="551"/>
      <c r="DS33" s="551"/>
      <c r="DT33" s="551"/>
      <c r="DU33" s="551"/>
      <c r="DV33" s="551"/>
      <c r="DW33" s="551"/>
      <c r="DX33" s="551"/>
      <c r="DY33" s="551"/>
      <c r="DZ33" s="551"/>
      <c r="EA33" s="551"/>
      <c r="EB33" s="551"/>
      <c r="EC33" s="551"/>
      <c r="ED33" s="551"/>
      <c r="EE33" s="551"/>
      <c r="EF33" s="551"/>
      <c r="EG33" s="551"/>
      <c r="EH33" s="551"/>
      <c r="EI33" s="551"/>
      <c r="EJ33" s="551"/>
      <c r="EK33" s="551"/>
      <c r="EL33" s="551"/>
      <c r="EM33" s="551"/>
      <c r="EN33" s="551"/>
      <c r="EO33" s="551"/>
      <c r="EP33" s="551"/>
      <c r="EQ33" s="551"/>
      <c r="ER33" s="551"/>
      <c r="ES33" s="551"/>
      <c r="ET33" s="551"/>
      <c r="EU33" s="551"/>
      <c r="EV33" s="551"/>
      <c r="EW33" s="551"/>
      <c r="EX33" s="551"/>
      <c r="EY33" s="551"/>
      <c r="EZ33" s="551"/>
      <c r="FA33" s="551"/>
      <c r="FB33" s="551"/>
      <c r="FC33" s="551"/>
      <c r="FD33" s="551"/>
      <c r="FE33" s="551"/>
      <c r="FF33" s="551"/>
      <c r="FG33" s="551"/>
      <c r="FH33" s="551"/>
      <c r="FI33" s="551"/>
      <c r="FJ33" s="551"/>
      <c r="FK33" s="551"/>
      <c r="FL33" s="551"/>
      <c r="FM33" s="551"/>
      <c r="FN33" s="551"/>
      <c r="FO33" s="551"/>
      <c r="FP33" s="551"/>
      <c r="FQ33" s="551"/>
      <c r="FR33" s="551"/>
      <c r="FS33" s="551"/>
      <c r="FT33" s="551"/>
      <c r="FU33" s="551"/>
      <c r="FV33" s="551"/>
      <c r="FW33" s="551"/>
      <c r="FX33" s="551"/>
      <c r="FY33" s="551"/>
      <c r="FZ33" s="551"/>
      <c r="GA33" s="551"/>
      <c r="GB33" s="551"/>
      <c r="GC33" s="551"/>
      <c r="GD33" s="551"/>
      <c r="GE33" s="551"/>
      <c r="GF33" s="551"/>
      <c r="GG33" s="551"/>
      <c r="GH33" s="551"/>
      <c r="GI33" s="551"/>
      <c r="GJ33" s="551"/>
      <c r="GK33" s="551"/>
      <c r="GL33" s="551"/>
      <c r="GM33" s="551"/>
      <c r="GN33" s="551"/>
      <c r="GO33" s="551"/>
      <c r="GP33" s="551"/>
      <c r="GQ33" s="551"/>
      <c r="GR33" s="551"/>
      <c r="GS33" s="551"/>
      <c r="GT33" s="551"/>
      <c r="GU33" s="551"/>
      <c r="GV33" s="551"/>
      <c r="GW33" s="551"/>
      <c r="GX33" s="551"/>
      <c r="GY33" s="551"/>
      <c r="GZ33" s="551"/>
      <c r="HA33" s="551"/>
      <c r="HB33" s="551"/>
      <c r="HC33" s="551"/>
      <c r="HD33" s="551"/>
      <c r="HE33" s="551"/>
      <c r="HF33" s="551"/>
      <c r="HG33" s="551"/>
      <c r="HH33" s="551"/>
      <c r="HI33" s="551"/>
      <c r="HJ33" s="551"/>
      <c r="HK33" s="551"/>
      <c r="HL33" s="551"/>
      <c r="HM33" s="551"/>
      <c r="HN33" s="551"/>
      <c r="HO33" s="551"/>
      <c r="HP33" s="551"/>
      <c r="HQ33" s="551"/>
      <c r="HR33" s="551"/>
      <c r="HS33" s="551"/>
      <c r="HT33" s="551"/>
      <c r="HU33" s="551"/>
      <c r="HV33" s="551"/>
      <c r="HW33" s="551"/>
      <c r="HX33" s="551"/>
      <c r="HY33" s="551"/>
      <c r="HZ33" s="551"/>
      <c r="IA33" s="551"/>
      <c r="IB33" s="551"/>
      <c r="IC33" s="551"/>
      <c r="ID33" s="551"/>
      <c r="IE33" s="551"/>
      <c r="IF33" s="551"/>
      <c r="IG33" s="551"/>
      <c r="IH33" s="551"/>
      <c r="II33" s="551"/>
      <c r="IJ33" s="551"/>
      <c r="IK33" s="551"/>
      <c r="IL33" s="551"/>
      <c r="IM33" s="551"/>
      <c r="IN33" s="551"/>
      <c r="IO33" s="551"/>
      <c r="IP33" s="551"/>
      <c r="IQ33" s="551"/>
      <c r="IR33" s="551"/>
      <c r="IS33" s="551"/>
      <c r="IT33" s="551"/>
      <c r="IU33" s="551"/>
      <c r="IV33" s="551"/>
    </row>
  </sheetData>
  <mergeCells count="1">
    <mergeCell ref="D6:D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AD179"/>
  <sheetViews>
    <sheetView workbookViewId="0">
      <selection activeCell="E25" sqref="E25"/>
    </sheetView>
  </sheetViews>
  <sheetFormatPr defaultColWidth="9.140625" defaultRowHeight="12" x14ac:dyDescent="0.2"/>
  <cols>
    <col min="1" max="1" width="2.28515625" style="1" customWidth="1"/>
    <col min="2" max="2" width="20.5703125" style="1" customWidth="1"/>
    <col min="3" max="3" width="1.7109375" style="3" customWidth="1"/>
    <col min="4" max="5" width="14.5703125" style="3" customWidth="1"/>
    <col min="6" max="6" width="16.28515625" style="3" customWidth="1"/>
    <col min="7" max="8" width="13.7109375" style="3" customWidth="1"/>
    <col min="9" max="9" width="13.7109375" style="3" hidden="1" customWidth="1"/>
    <col min="10" max="10" width="13.7109375" style="3" customWidth="1"/>
    <col min="11" max="11" width="13.7109375" style="3" hidden="1" customWidth="1"/>
    <col min="12" max="19" width="13.7109375" style="3" customWidth="1"/>
    <col min="20" max="20" width="13.7109375" style="5" customWidth="1"/>
    <col min="21" max="21" width="12.7109375" style="5" customWidth="1"/>
    <col min="22" max="22" width="14.140625" style="5" customWidth="1"/>
    <col min="23" max="23" width="15.28515625" style="6" customWidth="1"/>
    <col min="24" max="24" width="12.7109375" style="5" customWidth="1"/>
    <col min="25" max="25" width="7.5703125" style="5" customWidth="1"/>
    <col min="26" max="26" width="1.7109375" style="6" customWidth="1"/>
    <col min="27" max="29" width="14.7109375" style="5" customWidth="1"/>
    <col min="30" max="30" width="5.7109375" style="1" customWidth="1"/>
    <col min="31" max="31" width="2.28515625" style="1" customWidth="1"/>
    <col min="32" max="261" width="9.140625" style="1"/>
    <col min="262" max="262" width="2.28515625" style="1" customWidth="1"/>
    <col min="263" max="263" width="20.5703125" style="1" customWidth="1"/>
    <col min="264" max="264" width="1.7109375" style="1" customWidth="1"/>
    <col min="265" max="265" width="13.140625" style="1" customWidth="1"/>
    <col min="266" max="276" width="13.7109375" style="1" customWidth="1"/>
    <col min="277" max="278" width="0" style="1" hidden="1" customWidth="1"/>
    <col min="279" max="279" width="1.7109375" style="1" customWidth="1"/>
    <col min="280" max="280" width="12.7109375" style="1" customWidth="1"/>
    <col min="281" max="281" width="7.5703125" style="1" customWidth="1"/>
    <col min="282" max="282" width="1.7109375" style="1" customWidth="1"/>
    <col min="283" max="285" width="14.7109375" style="1" customWidth="1"/>
    <col min="286" max="286" width="5.7109375" style="1" customWidth="1"/>
    <col min="287" max="287" width="2.28515625" style="1" customWidth="1"/>
    <col min="288" max="517" width="9.140625" style="1"/>
    <col min="518" max="518" width="2.28515625" style="1" customWidth="1"/>
    <col min="519" max="519" width="20.5703125" style="1" customWidth="1"/>
    <col min="520" max="520" width="1.7109375" style="1" customWidth="1"/>
    <col min="521" max="521" width="13.140625" style="1" customWidth="1"/>
    <col min="522" max="532" width="13.7109375" style="1" customWidth="1"/>
    <col min="533" max="534" width="0" style="1" hidden="1" customWidth="1"/>
    <col min="535" max="535" width="1.7109375" style="1" customWidth="1"/>
    <col min="536" max="536" width="12.7109375" style="1" customWidth="1"/>
    <col min="537" max="537" width="7.5703125" style="1" customWidth="1"/>
    <col min="538" max="538" width="1.7109375" style="1" customWidth="1"/>
    <col min="539" max="541" width="14.7109375" style="1" customWidth="1"/>
    <col min="542" max="542" width="5.7109375" style="1" customWidth="1"/>
    <col min="543" max="543" width="2.28515625" style="1" customWidth="1"/>
    <col min="544" max="773" width="9.140625" style="1"/>
    <col min="774" max="774" width="2.28515625" style="1" customWidth="1"/>
    <col min="775" max="775" width="20.5703125" style="1" customWidth="1"/>
    <col min="776" max="776" width="1.7109375" style="1" customWidth="1"/>
    <col min="777" max="777" width="13.140625" style="1" customWidth="1"/>
    <col min="778" max="788" width="13.7109375" style="1" customWidth="1"/>
    <col min="789" max="790" width="0" style="1" hidden="1" customWidth="1"/>
    <col min="791" max="791" width="1.7109375" style="1" customWidth="1"/>
    <col min="792" max="792" width="12.7109375" style="1" customWidth="1"/>
    <col min="793" max="793" width="7.5703125" style="1" customWidth="1"/>
    <col min="794" max="794" width="1.7109375" style="1" customWidth="1"/>
    <col min="795" max="797" width="14.7109375" style="1" customWidth="1"/>
    <col min="798" max="798" width="5.7109375" style="1" customWidth="1"/>
    <col min="799" max="799" width="2.28515625" style="1" customWidth="1"/>
    <col min="800" max="1029" width="9.140625" style="1"/>
    <col min="1030" max="1030" width="2.28515625" style="1" customWidth="1"/>
    <col min="1031" max="1031" width="20.5703125" style="1" customWidth="1"/>
    <col min="1032" max="1032" width="1.7109375" style="1" customWidth="1"/>
    <col min="1033" max="1033" width="13.140625" style="1" customWidth="1"/>
    <col min="1034" max="1044" width="13.7109375" style="1" customWidth="1"/>
    <col min="1045" max="1046" width="0" style="1" hidden="1" customWidth="1"/>
    <col min="1047" max="1047" width="1.7109375" style="1" customWidth="1"/>
    <col min="1048" max="1048" width="12.7109375" style="1" customWidth="1"/>
    <col min="1049" max="1049" width="7.5703125" style="1" customWidth="1"/>
    <col min="1050" max="1050" width="1.7109375" style="1" customWidth="1"/>
    <col min="1051" max="1053" width="14.7109375" style="1" customWidth="1"/>
    <col min="1054" max="1054" width="5.7109375" style="1" customWidth="1"/>
    <col min="1055" max="1055" width="2.28515625" style="1" customWidth="1"/>
    <col min="1056" max="1285" width="9.140625" style="1"/>
    <col min="1286" max="1286" width="2.28515625" style="1" customWidth="1"/>
    <col min="1287" max="1287" width="20.5703125" style="1" customWidth="1"/>
    <col min="1288" max="1288" width="1.7109375" style="1" customWidth="1"/>
    <col min="1289" max="1289" width="13.140625" style="1" customWidth="1"/>
    <col min="1290" max="1300" width="13.7109375" style="1" customWidth="1"/>
    <col min="1301" max="1302" width="0" style="1" hidden="1" customWidth="1"/>
    <col min="1303" max="1303" width="1.7109375" style="1" customWidth="1"/>
    <col min="1304" max="1304" width="12.7109375" style="1" customWidth="1"/>
    <col min="1305" max="1305" width="7.5703125" style="1" customWidth="1"/>
    <col min="1306" max="1306" width="1.7109375" style="1" customWidth="1"/>
    <col min="1307" max="1309" width="14.7109375" style="1" customWidth="1"/>
    <col min="1310" max="1310" width="5.7109375" style="1" customWidth="1"/>
    <col min="1311" max="1311" width="2.28515625" style="1" customWidth="1"/>
    <col min="1312" max="1541" width="9.140625" style="1"/>
    <col min="1542" max="1542" width="2.28515625" style="1" customWidth="1"/>
    <col min="1543" max="1543" width="20.5703125" style="1" customWidth="1"/>
    <col min="1544" max="1544" width="1.7109375" style="1" customWidth="1"/>
    <col min="1545" max="1545" width="13.140625" style="1" customWidth="1"/>
    <col min="1546" max="1556" width="13.7109375" style="1" customWidth="1"/>
    <col min="1557" max="1558" width="0" style="1" hidden="1" customWidth="1"/>
    <col min="1559" max="1559" width="1.7109375" style="1" customWidth="1"/>
    <col min="1560" max="1560" width="12.7109375" style="1" customWidth="1"/>
    <col min="1561" max="1561" width="7.5703125" style="1" customWidth="1"/>
    <col min="1562" max="1562" width="1.7109375" style="1" customWidth="1"/>
    <col min="1563" max="1565" width="14.7109375" style="1" customWidth="1"/>
    <col min="1566" max="1566" width="5.7109375" style="1" customWidth="1"/>
    <col min="1567" max="1567" width="2.28515625" style="1" customWidth="1"/>
    <col min="1568" max="1797" width="9.140625" style="1"/>
    <col min="1798" max="1798" width="2.28515625" style="1" customWidth="1"/>
    <col min="1799" max="1799" width="20.5703125" style="1" customWidth="1"/>
    <col min="1800" max="1800" width="1.7109375" style="1" customWidth="1"/>
    <col min="1801" max="1801" width="13.140625" style="1" customWidth="1"/>
    <col min="1802" max="1812" width="13.7109375" style="1" customWidth="1"/>
    <col min="1813" max="1814" width="0" style="1" hidden="1" customWidth="1"/>
    <col min="1815" max="1815" width="1.7109375" style="1" customWidth="1"/>
    <col min="1816" max="1816" width="12.7109375" style="1" customWidth="1"/>
    <col min="1817" max="1817" width="7.5703125" style="1" customWidth="1"/>
    <col min="1818" max="1818" width="1.7109375" style="1" customWidth="1"/>
    <col min="1819" max="1821" width="14.7109375" style="1" customWidth="1"/>
    <col min="1822" max="1822" width="5.7109375" style="1" customWidth="1"/>
    <col min="1823" max="1823" width="2.28515625" style="1" customWidth="1"/>
    <col min="1824" max="2053" width="9.140625" style="1"/>
    <col min="2054" max="2054" width="2.28515625" style="1" customWidth="1"/>
    <col min="2055" max="2055" width="20.5703125" style="1" customWidth="1"/>
    <col min="2056" max="2056" width="1.7109375" style="1" customWidth="1"/>
    <col min="2057" max="2057" width="13.140625" style="1" customWidth="1"/>
    <col min="2058" max="2068" width="13.7109375" style="1" customWidth="1"/>
    <col min="2069" max="2070" width="0" style="1" hidden="1" customWidth="1"/>
    <col min="2071" max="2071" width="1.7109375" style="1" customWidth="1"/>
    <col min="2072" max="2072" width="12.7109375" style="1" customWidth="1"/>
    <col min="2073" max="2073" width="7.5703125" style="1" customWidth="1"/>
    <col min="2074" max="2074" width="1.7109375" style="1" customWidth="1"/>
    <col min="2075" max="2077" width="14.7109375" style="1" customWidth="1"/>
    <col min="2078" max="2078" width="5.7109375" style="1" customWidth="1"/>
    <col min="2079" max="2079" width="2.28515625" style="1" customWidth="1"/>
    <col min="2080" max="2309" width="9.140625" style="1"/>
    <col min="2310" max="2310" width="2.28515625" style="1" customWidth="1"/>
    <col min="2311" max="2311" width="20.5703125" style="1" customWidth="1"/>
    <col min="2312" max="2312" width="1.7109375" style="1" customWidth="1"/>
    <col min="2313" max="2313" width="13.140625" style="1" customWidth="1"/>
    <col min="2314" max="2324" width="13.7109375" style="1" customWidth="1"/>
    <col min="2325" max="2326" width="0" style="1" hidden="1" customWidth="1"/>
    <col min="2327" max="2327" width="1.7109375" style="1" customWidth="1"/>
    <col min="2328" max="2328" width="12.7109375" style="1" customWidth="1"/>
    <col min="2329" max="2329" width="7.5703125" style="1" customWidth="1"/>
    <col min="2330" max="2330" width="1.7109375" style="1" customWidth="1"/>
    <col min="2331" max="2333" width="14.7109375" style="1" customWidth="1"/>
    <col min="2334" max="2334" width="5.7109375" style="1" customWidth="1"/>
    <col min="2335" max="2335" width="2.28515625" style="1" customWidth="1"/>
    <col min="2336" max="2565" width="9.140625" style="1"/>
    <col min="2566" max="2566" width="2.28515625" style="1" customWidth="1"/>
    <col min="2567" max="2567" width="20.5703125" style="1" customWidth="1"/>
    <col min="2568" max="2568" width="1.7109375" style="1" customWidth="1"/>
    <col min="2569" max="2569" width="13.140625" style="1" customWidth="1"/>
    <col min="2570" max="2580" width="13.7109375" style="1" customWidth="1"/>
    <col min="2581" max="2582" width="0" style="1" hidden="1" customWidth="1"/>
    <col min="2583" max="2583" width="1.7109375" style="1" customWidth="1"/>
    <col min="2584" max="2584" width="12.7109375" style="1" customWidth="1"/>
    <col min="2585" max="2585" width="7.5703125" style="1" customWidth="1"/>
    <col min="2586" max="2586" width="1.7109375" style="1" customWidth="1"/>
    <col min="2587" max="2589" width="14.7109375" style="1" customWidth="1"/>
    <col min="2590" max="2590" width="5.7109375" style="1" customWidth="1"/>
    <col min="2591" max="2591" width="2.28515625" style="1" customWidth="1"/>
    <col min="2592" max="2821" width="9.140625" style="1"/>
    <col min="2822" max="2822" width="2.28515625" style="1" customWidth="1"/>
    <col min="2823" max="2823" width="20.5703125" style="1" customWidth="1"/>
    <col min="2824" max="2824" width="1.7109375" style="1" customWidth="1"/>
    <col min="2825" max="2825" width="13.140625" style="1" customWidth="1"/>
    <col min="2826" max="2836" width="13.7109375" style="1" customWidth="1"/>
    <col min="2837" max="2838" width="0" style="1" hidden="1" customWidth="1"/>
    <col min="2839" max="2839" width="1.7109375" style="1" customWidth="1"/>
    <col min="2840" max="2840" width="12.7109375" style="1" customWidth="1"/>
    <col min="2841" max="2841" width="7.5703125" style="1" customWidth="1"/>
    <col min="2842" max="2842" width="1.7109375" style="1" customWidth="1"/>
    <col min="2843" max="2845" width="14.7109375" style="1" customWidth="1"/>
    <col min="2846" max="2846" width="5.7109375" style="1" customWidth="1"/>
    <col min="2847" max="2847" width="2.28515625" style="1" customWidth="1"/>
    <col min="2848" max="3077" width="9.140625" style="1"/>
    <col min="3078" max="3078" width="2.28515625" style="1" customWidth="1"/>
    <col min="3079" max="3079" width="20.5703125" style="1" customWidth="1"/>
    <col min="3080" max="3080" width="1.7109375" style="1" customWidth="1"/>
    <col min="3081" max="3081" width="13.140625" style="1" customWidth="1"/>
    <col min="3082" max="3092" width="13.7109375" style="1" customWidth="1"/>
    <col min="3093" max="3094" width="0" style="1" hidden="1" customWidth="1"/>
    <col min="3095" max="3095" width="1.7109375" style="1" customWidth="1"/>
    <col min="3096" max="3096" width="12.7109375" style="1" customWidth="1"/>
    <col min="3097" max="3097" width="7.5703125" style="1" customWidth="1"/>
    <col min="3098" max="3098" width="1.7109375" style="1" customWidth="1"/>
    <col min="3099" max="3101" width="14.7109375" style="1" customWidth="1"/>
    <col min="3102" max="3102" width="5.7109375" style="1" customWidth="1"/>
    <col min="3103" max="3103" width="2.28515625" style="1" customWidth="1"/>
    <col min="3104" max="3333" width="9.140625" style="1"/>
    <col min="3334" max="3334" width="2.28515625" style="1" customWidth="1"/>
    <col min="3335" max="3335" width="20.5703125" style="1" customWidth="1"/>
    <col min="3336" max="3336" width="1.7109375" style="1" customWidth="1"/>
    <col min="3337" max="3337" width="13.140625" style="1" customWidth="1"/>
    <col min="3338" max="3348" width="13.7109375" style="1" customWidth="1"/>
    <col min="3349" max="3350" width="0" style="1" hidden="1" customWidth="1"/>
    <col min="3351" max="3351" width="1.7109375" style="1" customWidth="1"/>
    <col min="3352" max="3352" width="12.7109375" style="1" customWidth="1"/>
    <col min="3353" max="3353" width="7.5703125" style="1" customWidth="1"/>
    <col min="3354" max="3354" width="1.7109375" style="1" customWidth="1"/>
    <col min="3355" max="3357" width="14.7109375" style="1" customWidth="1"/>
    <col min="3358" max="3358" width="5.7109375" style="1" customWidth="1"/>
    <col min="3359" max="3359" width="2.28515625" style="1" customWidth="1"/>
    <col min="3360" max="3589" width="9.140625" style="1"/>
    <col min="3590" max="3590" width="2.28515625" style="1" customWidth="1"/>
    <col min="3591" max="3591" width="20.5703125" style="1" customWidth="1"/>
    <col min="3592" max="3592" width="1.7109375" style="1" customWidth="1"/>
    <col min="3593" max="3593" width="13.140625" style="1" customWidth="1"/>
    <col min="3594" max="3604" width="13.7109375" style="1" customWidth="1"/>
    <col min="3605" max="3606" width="0" style="1" hidden="1" customWidth="1"/>
    <col min="3607" max="3607" width="1.7109375" style="1" customWidth="1"/>
    <col min="3608" max="3608" width="12.7109375" style="1" customWidth="1"/>
    <col min="3609" max="3609" width="7.5703125" style="1" customWidth="1"/>
    <col min="3610" max="3610" width="1.7109375" style="1" customWidth="1"/>
    <col min="3611" max="3613" width="14.7109375" style="1" customWidth="1"/>
    <col min="3614" max="3614" width="5.7109375" style="1" customWidth="1"/>
    <col min="3615" max="3615" width="2.28515625" style="1" customWidth="1"/>
    <col min="3616" max="3845" width="9.140625" style="1"/>
    <col min="3846" max="3846" width="2.28515625" style="1" customWidth="1"/>
    <col min="3847" max="3847" width="20.5703125" style="1" customWidth="1"/>
    <col min="3848" max="3848" width="1.7109375" style="1" customWidth="1"/>
    <col min="3849" max="3849" width="13.140625" style="1" customWidth="1"/>
    <col min="3850" max="3860" width="13.7109375" style="1" customWidth="1"/>
    <col min="3861" max="3862" width="0" style="1" hidden="1" customWidth="1"/>
    <col min="3863" max="3863" width="1.7109375" style="1" customWidth="1"/>
    <col min="3864" max="3864" width="12.7109375" style="1" customWidth="1"/>
    <col min="3865" max="3865" width="7.5703125" style="1" customWidth="1"/>
    <col min="3866" max="3866" width="1.7109375" style="1" customWidth="1"/>
    <col min="3867" max="3869" width="14.7109375" style="1" customWidth="1"/>
    <col min="3870" max="3870" width="5.7109375" style="1" customWidth="1"/>
    <col min="3871" max="3871" width="2.28515625" style="1" customWidth="1"/>
    <col min="3872" max="4101" width="9.140625" style="1"/>
    <col min="4102" max="4102" width="2.28515625" style="1" customWidth="1"/>
    <col min="4103" max="4103" width="20.5703125" style="1" customWidth="1"/>
    <col min="4104" max="4104" width="1.7109375" style="1" customWidth="1"/>
    <col min="4105" max="4105" width="13.140625" style="1" customWidth="1"/>
    <col min="4106" max="4116" width="13.7109375" style="1" customWidth="1"/>
    <col min="4117" max="4118" width="0" style="1" hidden="1" customWidth="1"/>
    <col min="4119" max="4119" width="1.7109375" style="1" customWidth="1"/>
    <col min="4120" max="4120" width="12.7109375" style="1" customWidth="1"/>
    <col min="4121" max="4121" width="7.5703125" style="1" customWidth="1"/>
    <col min="4122" max="4122" width="1.7109375" style="1" customWidth="1"/>
    <col min="4123" max="4125" width="14.7109375" style="1" customWidth="1"/>
    <col min="4126" max="4126" width="5.7109375" style="1" customWidth="1"/>
    <col min="4127" max="4127" width="2.28515625" style="1" customWidth="1"/>
    <col min="4128" max="4357" width="9.140625" style="1"/>
    <col min="4358" max="4358" width="2.28515625" style="1" customWidth="1"/>
    <col min="4359" max="4359" width="20.5703125" style="1" customWidth="1"/>
    <col min="4360" max="4360" width="1.7109375" style="1" customWidth="1"/>
    <col min="4361" max="4361" width="13.140625" style="1" customWidth="1"/>
    <col min="4362" max="4372" width="13.7109375" style="1" customWidth="1"/>
    <col min="4373" max="4374" width="0" style="1" hidden="1" customWidth="1"/>
    <col min="4375" max="4375" width="1.7109375" style="1" customWidth="1"/>
    <col min="4376" max="4376" width="12.7109375" style="1" customWidth="1"/>
    <col min="4377" max="4377" width="7.5703125" style="1" customWidth="1"/>
    <col min="4378" max="4378" width="1.7109375" style="1" customWidth="1"/>
    <col min="4379" max="4381" width="14.7109375" style="1" customWidth="1"/>
    <col min="4382" max="4382" width="5.7109375" style="1" customWidth="1"/>
    <col min="4383" max="4383" width="2.28515625" style="1" customWidth="1"/>
    <col min="4384" max="4613" width="9.140625" style="1"/>
    <col min="4614" max="4614" width="2.28515625" style="1" customWidth="1"/>
    <col min="4615" max="4615" width="20.5703125" style="1" customWidth="1"/>
    <col min="4616" max="4616" width="1.7109375" style="1" customWidth="1"/>
    <col min="4617" max="4617" width="13.140625" style="1" customWidth="1"/>
    <col min="4618" max="4628" width="13.7109375" style="1" customWidth="1"/>
    <col min="4629" max="4630" width="0" style="1" hidden="1" customWidth="1"/>
    <col min="4631" max="4631" width="1.7109375" style="1" customWidth="1"/>
    <col min="4632" max="4632" width="12.7109375" style="1" customWidth="1"/>
    <col min="4633" max="4633" width="7.5703125" style="1" customWidth="1"/>
    <col min="4634" max="4634" width="1.7109375" style="1" customWidth="1"/>
    <col min="4635" max="4637" width="14.7109375" style="1" customWidth="1"/>
    <col min="4638" max="4638" width="5.7109375" style="1" customWidth="1"/>
    <col min="4639" max="4639" width="2.28515625" style="1" customWidth="1"/>
    <col min="4640" max="4869" width="9.140625" style="1"/>
    <col min="4870" max="4870" width="2.28515625" style="1" customWidth="1"/>
    <col min="4871" max="4871" width="20.5703125" style="1" customWidth="1"/>
    <col min="4872" max="4872" width="1.7109375" style="1" customWidth="1"/>
    <col min="4873" max="4873" width="13.140625" style="1" customWidth="1"/>
    <col min="4874" max="4884" width="13.7109375" style="1" customWidth="1"/>
    <col min="4885" max="4886" width="0" style="1" hidden="1" customWidth="1"/>
    <col min="4887" max="4887" width="1.7109375" style="1" customWidth="1"/>
    <col min="4888" max="4888" width="12.7109375" style="1" customWidth="1"/>
    <col min="4889" max="4889" width="7.5703125" style="1" customWidth="1"/>
    <col min="4890" max="4890" width="1.7109375" style="1" customWidth="1"/>
    <col min="4891" max="4893" width="14.7109375" style="1" customWidth="1"/>
    <col min="4894" max="4894" width="5.7109375" style="1" customWidth="1"/>
    <col min="4895" max="4895" width="2.28515625" style="1" customWidth="1"/>
    <col min="4896" max="5125" width="9.140625" style="1"/>
    <col min="5126" max="5126" width="2.28515625" style="1" customWidth="1"/>
    <col min="5127" max="5127" width="20.5703125" style="1" customWidth="1"/>
    <col min="5128" max="5128" width="1.7109375" style="1" customWidth="1"/>
    <col min="5129" max="5129" width="13.140625" style="1" customWidth="1"/>
    <col min="5130" max="5140" width="13.7109375" style="1" customWidth="1"/>
    <col min="5141" max="5142" width="0" style="1" hidden="1" customWidth="1"/>
    <col min="5143" max="5143" width="1.7109375" style="1" customWidth="1"/>
    <col min="5144" max="5144" width="12.7109375" style="1" customWidth="1"/>
    <col min="5145" max="5145" width="7.5703125" style="1" customWidth="1"/>
    <col min="5146" max="5146" width="1.7109375" style="1" customWidth="1"/>
    <col min="5147" max="5149" width="14.7109375" style="1" customWidth="1"/>
    <col min="5150" max="5150" width="5.7109375" style="1" customWidth="1"/>
    <col min="5151" max="5151" width="2.28515625" style="1" customWidth="1"/>
    <col min="5152" max="5381" width="9.140625" style="1"/>
    <col min="5382" max="5382" width="2.28515625" style="1" customWidth="1"/>
    <col min="5383" max="5383" width="20.5703125" style="1" customWidth="1"/>
    <col min="5384" max="5384" width="1.7109375" style="1" customWidth="1"/>
    <col min="5385" max="5385" width="13.140625" style="1" customWidth="1"/>
    <col min="5386" max="5396" width="13.7109375" style="1" customWidth="1"/>
    <col min="5397" max="5398" width="0" style="1" hidden="1" customWidth="1"/>
    <col min="5399" max="5399" width="1.7109375" style="1" customWidth="1"/>
    <col min="5400" max="5400" width="12.7109375" style="1" customWidth="1"/>
    <col min="5401" max="5401" width="7.5703125" style="1" customWidth="1"/>
    <col min="5402" max="5402" width="1.7109375" style="1" customWidth="1"/>
    <col min="5403" max="5405" width="14.7109375" style="1" customWidth="1"/>
    <col min="5406" max="5406" width="5.7109375" style="1" customWidth="1"/>
    <col min="5407" max="5407" width="2.28515625" style="1" customWidth="1"/>
    <col min="5408" max="5637" width="9.140625" style="1"/>
    <col min="5638" max="5638" width="2.28515625" style="1" customWidth="1"/>
    <col min="5639" max="5639" width="20.5703125" style="1" customWidth="1"/>
    <col min="5640" max="5640" width="1.7109375" style="1" customWidth="1"/>
    <col min="5641" max="5641" width="13.140625" style="1" customWidth="1"/>
    <col min="5642" max="5652" width="13.7109375" style="1" customWidth="1"/>
    <col min="5653" max="5654" width="0" style="1" hidden="1" customWidth="1"/>
    <col min="5655" max="5655" width="1.7109375" style="1" customWidth="1"/>
    <col min="5656" max="5656" width="12.7109375" style="1" customWidth="1"/>
    <col min="5657" max="5657" width="7.5703125" style="1" customWidth="1"/>
    <col min="5658" max="5658" width="1.7109375" style="1" customWidth="1"/>
    <col min="5659" max="5661" width="14.7109375" style="1" customWidth="1"/>
    <col min="5662" max="5662" width="5.7109375" style="1" customWidth="1"/>
    <col min="5663" max="5663" width="2.28515625" style="1" customWidth="1"/>
    <col min="5664" max="5893" width="9.140625" style="1"/>
    <col min="5894" max="5894" width="2.28515625" style="1" customWidth="1"/>
    <col min="5895" max="5895" width="20.5703125" style="1" customWidth="1"/>
    <col min="5896" max="5896" width="1.7109375" style="1" customWidth="1"/>
    <col min="5897" max="5897" width="13.140625" style="1" customWidth="1"/>
    <col min="5898" max="5908" width="13.7109375" style="1" customWidth="1"/>
    <col min="5909" max="5910" width="0" style="1" hidden="1" customWidth="1"/>
    <col min="5911" max="5911" width="1.7109375" style="1" customWidth="1"/>
    <col min="5912" max="5912" width="12.7109375" style="1" customWidth="1"/>
    <col min="5913" max="5913" width="7.5703125" style="1" customWidth="1"/>
    <col min="5914" max="5914" width="1.7109375" style="1" customWidth="1"/>
    <col min="5915" max="5917" width="14.7109375" style="1" customWidth="1"/>
    <col min="5918" max="5918" width="5.7109375" style="1" customWidth="1"/>
    <col min="5919" max="5919" width="2.28515625" style="1" customWidth="1"/>
    <col min="5920" max="6149" width="9.140625" style="1"/>
    <col min="6150" max="6150" width="2.28515625" style="1" customWidth="1"/>
    <col min="6151" max="6151" width="20.5703125" style="1" customWidth="1"/>
    <col min="6152" max="6152" width="1.7109375" style="1" customWidth="1"/>
    <col min="6153" max="6153" width="13.140625" style="1" customWidth="1"/>
    <col min="6154" max="6164" width="13.7109375" style="1" customWidth="1"/>
    <col min="6165" max="6166" width="0" style="1" hidden="1" customWidth="1"/>
    <col min="6167" max="6167" width="1.7109375" style="1" customWidth="1"/>
    <col min="6168" max="6168" width="12.7109375" style="1" customWidth="1"/>
    <col min="6169" max="6169" width="7.5703125" style="1" customWidth="1"/>
    <col min="6170" max="6170" width="1.7109375" style="1" customWidth="1"/>
    <col min="6171" max="6173" width="14.7109375" style="1" customWidth="1"/>
    <col min="6174" max="6174" width="5.7109375" style="1" customWidth="1"/>
    <col min="6175" max="6175" width="2.28515625" style="1" customWidth="1"/>
    <col min="6176" max="6405" width="9.140625" style="1"/>
    <col min="6406" max="6406" width="2.28515625" style="1" customWidth="1"/>
    <col min="6407" max="6407" width="20.5703125" style="1" customWidth="1"/>
    <col min="6408" max="6408" width="1.7109375" style="1" customWidth="1"/>
    <col min="6409" max="6409" width="13.140625" style="1" customWidth="1"/>
    <col min="6410" max="6420" width="13.7109375" style="1" customWidth="1"/>
    <col min="6421" max="6422" width="0" style="1" hidden="1" customWidth="1"/>
    <col min="6423" max="6423" width="1.7109375" style="1" customWidth="1"/>
    <col min="6424" max="6424" width="12.7109375" style="1" customWidth="1"/>
    <col min="6425" max="6425" width="7.5703125" style="1" customWidth="1"/>
    <col min="6426" max="6426" width="1.7109375" style="1" customWidth="1"/>
    <col min="6427" max="6429" width="14.7109375" style="1" customWidth="1"/>
    <col min="6430" max="6430" width="5.7109375" style="1" customWidth="1"/>
    <col min="6431" max="6431" width="2.28515625" style="1" customWidth="1"/>
    <col min="6432" max="6661" width="9.140625" style="1"/>
    <col min="6662" max="6662" width="2.28515625" style="1" customWidth="1"/>
    <col min="6663" max="6663" width="20.5703125" style="1" customWidth="1"/>
    <col min="6664" max="6664" width="1.7109375" style="1" customWidth="1"/>
    <col min="6665" max="6665" width="13.140625" style="1" customWidth="1"/>
    <col min="6666" max="6676" width="13.7109375" style="1" customWidth="1"/>
    <col min="6677" max="6678" width="0" style="1" hidden="1" customWidth="1"/>
    <col min="6679" max="6679" width="1.7109375" style="1" customWidth="1"/>
    <col min="6680" max="6680" width="12.7109375" style="1" customWidth="1"/>
    <col min="6681" max="6681" width="7.5703125" style="1" customWidth="1"/>
    <col min="6682" max="6682" width="1.7109375" style="1" customWidth="1"/>
    <col min="6683" max="6685" width="14.7109375" style="1" customWidth="1"/>
    <col min="6686" max="6686" width="5.7109375" style="1" customWidth="1"/>
    <col min="6687" max="6687" width="2.28515625" style="1" customWidth="1"/>
    <col min="6688" max="6917" width="9.140625" style="1"/>
    <col min="6918" max="6918" width="2.28515625" style="1" customWidth="1"/>
    <col min="6919" max="6919" width="20.5703125" style="1" customWidth="1"/>
    <col min="6920" max="6920" width="1.7109375" style="1" customWidth="1"/>
    <col min="6921" max="6921" width="13.140625" style="1" customWidth="1"/>
    <col min="6922" max="6932" width="13.7109375" style="1" customWidth="1"/>
    <col min="6933" max="6934" width="0" style="1" hidden="1" customWidth="1"/>
    <col min="6935" max="6935" width="1.7109375" style="1" customWidth="1"/>
    <col min="6936" max="6936" width="12.7109375" style="1" customWidth="1"/>
    <col min="6937" max="6937" width="7.5703125" style="1" customWidth="1"/>
    <col min="6938" max="6938" width="1.7109375" style="1" customWidth="1"/>
    <col min="6939" max="6941" width="14.7109375" style="1" customWidth="1"/>
    <col min="6942" max="6942" width="5.7109375" style="1" customWidth="1"/>
    <col min="6943" max="6943" width="2.28515625" style="1" customWidth="1"/>
    <col min="6944" max="7173" width="9.140625" style="1"/>
    <col min="7174" max="7174" width="2.28515625" style="1" customWidth="1"/>
    <col min="7175" max="7175" width="20.5703125" style="1" customWidth="1"/>
    <col min="7176" max="7176" width="1.7109375" style="1" customWidth="1"/>
    <col min="7177" max="7177" width="13.140625" style="1" customWidth="1"/>
    <col min="7178" max="7188" width="13.7109375" style="1" customWidth="1"/>
    <col min="7189" max="7190" width="0" style="1" hidden="1" customWidth="1"/>
    <col min="7191" max="7191" width="1.7109375" style="1" customWidth="1"/>
    <col min="7192" max="7192" width="12.7109375" style="1" customWidth="1"/>
    <col min="7193" max="7193" width="7.5703125" style="1" customWidth="1"/>
    <col min="7194" max="7194" width="1.7109375" style="1" customWidth="1"/>
    <col min="7195" max="7197" width="14.7109375" style="1" customWidth="1"/>
    <col min="7198" max="7198" width="5.7109375" style="1" customWidth="1"/>
    <col min="7199" max="7199" width="2.28515625" style="1" customWidth="1"/>
    <col min="7200" max="7429" width="9.140625" style="1"/>
    <col min="7430" max="7430" width="2.28515625" style="1" customWidth="1"/>
    <col min="7431" max="7431" width="20.5703125" style="1" customWidth="1"/>
    <col min="7432" max="7432" width="1.7109375" style="1" customWidth="1"/>
    <col min="7433" max="7433" width="13.140625" style="1" customWidth="1"/>
    <col min="7434" max="7444" width="13.7109375" style="1" customWidth="1"/>
    <col min="7445" max="7446" width="0" style="1" hidden="1" customWidth="1"/>
    <col min="7447" max="7447" width="1.7109375" style="1" customWidth="1"/>
    <col min="7448" max="7448" width="12.7109375" style="1" customWidth="1"/>
    <col min="7449" max="7449" width="7.5703125" style="1" customWidth="1"/>
    <col min="7450" max="7450" width="1.7109375" style="1" customWidth="1"/>
    <col min="7451" max="7453" width="14.7109375" style="1" customWidth="1"/>
    <col min="7454" max="7454" width="5.7109375" style="1" customWidth="1"/>
    <col min="7455" max="7455" width="2.28515625" style="1" customWidth="1"/>
    <col min="7456" max="7685" width="9.140625" style="1"/>
    <col min="7686" max="7686" width="2.28515625" style="1" customWidth="1"/>
    <col min="7687" max="7687" width="20.5703125" style="1" customWidth="1"/>
    <col min="7688" max="7688" width="1.7109375" style="1" customWidth="1"/>
    <col min="7689" max="7689" width="13.140625" style="1" customWidth="1"/>
    <col min="7690" max="7700" width="13.7109375" style="1" customWidth="1"/>
    <col min="7701" max="7702" width="0" style="1" hidden="1" customWidth="1"/>
    <col min="7703" max="7703" width="1.7109375" style="1" customWidth="1"/>
    <col min="7704" max="7704" width="12.7109375" style="1" customWidth="1"/>
    <col min="7705" max="7705" width="7.5703125" style="1" customWidth="1"/>
    <col min="7706" max="7706" width="1.7109375" style="1" customWidth="1"/>
    <col min="7707" max="7709" width="14.7109375" style="1" customWidth="1"/>
    <col min="7710" max="7710" width="5.7109375" style="1" customWidth="1"/>
    <col min="7711" max="7711" width="2.28515625" style="1" customWidth="1"/>
    <col min="7712" max="7941" width="9.140625" style="1"/>
    <col min="7942" max="7942" width="2.28515625" style="1" customWidth="1"/>
    <col min="7943" max="7943" width="20.5703125" style="1" customWidth="1"/>
    <col min="7944" max="7944" width="1.7109375" style="1" customWidth="1"/>
    <col min="7945" max="7945" width="13.140625" style="1" customWidth="1"/>
    <col min="7946" max="7956" width="13.7109375" style="1" customWidth="1"/>
    <col min="7957" max="7958" width="0" style="1" hidden="1" customWidth="1"/>
    <col min="7959" max="7959" width="1.7109375" style="1" customWidth="1"/>
    <col min="7960" max="7960" width="12.7109375" style="1" customWidth="1"/>
    <col min="7961" max="7961" width="7.5703125" style="1" customWidth="1"/>
    <col min="7962" max="7962" width="1.7109375" style="1" customWidth="1"/>
    <col min="7963" max="7965" width="14.7109375" style="1" customWidth="1"/>
    <col min="7966" max="7966" width="5.7109375" style="1" customWidth="1"/>
    <col min="7967" max="7967" width="2.28515625" style="1" customWidth="1"/>
    <col min="7968" max="8197" width="9.140625" style="1"/>
    <col min="8198" max="8198" width="2.28515625" style="1" customWidth="1"/>
    <col min="8199" max="8199" width="20.5703125" style="1" customWidth="1"/>
    <col min="8200" max="8200" width="1.7109375" style="1" customWidth="1"/>
    <col min="8201" max="8201" width="13.140625" style="1" customWidth="1"/>
    <col min="8202" max="8212" width="13.7109375" style="1" customWidth="1"/>
    <col min="8213" max="8214" width="0" style="1" hidden="1" customWidth="1"/>
    <col min="8215" max="8215" width="1.7109375" style="1" customWidth="1"/>
    <col min="8216" max="8216" width="12.7109375" style="1" customWidth="1"/>
    <col min="8217" max="8217" width="7.5703125" style="1" customWidth="1"/>
    <col min="8218" max="8218" width="1.7109375" style="1" customWidth="1"/>
    <col min="8219" max="8221" width="14.7109375" style="1" customWidth="1"/>
    <col min="8222" max="8222" width="5.7109375" style="1" customWidth="1"/>
    <col min="8223" max="8223" width="2.28515625" style="1" customWidth="1"/>
    <col min="8224" max="8453" width="9.140625" style="1"/>
    <col min="8454" max="8454" width="2.28515625" style="1" customWidth="1"/>
    <col min="8455" max="8455" width="20.5703125" style="1" customWidth="1"/>
    <col min="8456" max="8456" width="1.7109375" style="1" customWidth="1"/>
    <col min="8457" max="8457" width="13.140625" style="1" customWidth="1"/>
    <col min="8458" max="8468" width="13.7109375" style="1" customWidth="1"/>
    <col min="8469" max="8470" width="0" style="1" hidden="1" customWidth="1"/>
    <col min="8471" max="8471" width="1.7109375" style="1" customWidth="1"/>
    <col min="8472" max="8472" width="12.7109375" style="1" customWidth="1"/>
    <col min="8473" max="8473" width="7.5703125" style="1" customWidth="1"/>
    <col min="8474" max="8474" width="1.7109375" style="1" customWidth="1"/>
    <col min="8475" max="8477" width="14.7109375" style="1" customWidth="1"/>
    <col min="8478" max="8478" width="5.7109375" style="1" customWidth="1"/>
    <col min="8479" max="8479" width="2.28515625" style="1" customWidth="1"/>
    <col min="8480" max="8709" width="9.140625" style="1"/>
    <col min="8710" max="8710" width="2.28515625" style="1" customWidth="1"/>
    <col min="8711" max="8711" width="20.5703125" style="1" customWidth="1"/>
    <col min="8712" max="8712" width="1.7109375" style="1" customWidth="1"/>
    <col min="8713" max="8713" width="13.140625" style="1" customWidth="1"/>
    <col min="8714" max="8724" width="13.7109375" style="1" customWidth="1"/>
    <col min="8725" max="8726" width="0" style="1" hidden="1" customWidth="1"/>
    <col min="8727" max="8727" width="1.7109375" style="1" customWidth="1"/>
    <col min="8728" max="8728" width="12.7109375" style="1" customWidth="1"/>
    <col min="8729" max="8729" width="7.5703125" style="1" customWidth="1"/>
    <col min="8730" max="8730" width="1.7109375" style="1" customWidth="1"/>
    <col min="8731" max="8733" width="14.7109375" style="1" customWidth="1"/>
    <col min="8734" max="8734" width="5.7109375" style="1" customWidth="1"/>
    <col min="8735" max="8735" width="2.28515625" style="1" customWidth="1"/>
    <col min="8736" max="8965" width="9.140625" style="1"/>
    <col min="8966" max="8966" width="2.28515625" style="1" customWidth="1"/>
    <col min="8967" max="8967" width="20.5703125" style="1" customWidth="1"/>
    <col min="8968" max="8968" width="1.7109375" style="1" customWidth="1"/>
    <col min="8969" max="8969" width="13.140625" style="1" customWidth="1"/>
    <col min="8970" max="8980" width="13.7109375" style="1" customWidth="1"/>
    <col min="8981" max="8982" width="0" style="1" hidden="1" customWidth="1"/>
    <col min="8983" max="8983" width="1.7109375" style="1" customWidth="1"/>
    <col min="8984" max="8984" width="12.7109375" style="1" customWidth="1"/>
    <col min="8985" max="8985" width="7.5703125" style="1" customWidth="1"/>
    <col min="8986" max="8986" width="1.7109375" style="1" customWidth="1"/>
    <col min="8987" max="8989" width="14.7109375" style="1" customWidth="1"/>
    <col min="8990" max="8990" width="5.7109375" style="1" customWidth="1"/>
    <col min="8991" max="8991" width="2.28515625" style="1" customWidth="1"/>
    <col min="8992" max="9221" width="9.140625" style="1"/>
    <col min="9222" max="9222" width="2.28515625" style="1" customWidth="1"/>
    <col min="9223" max="9223" width="20.5703125" style="1" customWidth="1"/>
    <col min="9224" max="9224" width="1.7109375" style="1" customWidth="1"/>
    <col min="9225" max="9225" width="13.140625" style="1" customWidth="1"/>
    <col min="9226" max="9236" width="13.7109375" style="1" customWidth="1"/>
    <col min="9237" max="9238" width="0" style="1" hidden="1" customWidth="1"/>
    <col min="9239" max="9239" width="1.7109375" style="1" customWidth="1"/>
    <col min="9240" max="9240" width="12.7109375" style="1" customWidth="1"/>
    <col min="9241" max="9241" width="7.5703125" style="1" customWidth="1"/>
    <col min="9242" max="9242" width="1.7109375" style="1" customWidth="1"/>
    <col min="9243" max="9245" width="14.7109375" style="1" customWidth="1"/>
    <col min="9246" max="9246" width="5.7109375" style="1" customWidth="1"/>
    <col min="9247" max="9247" width="2.28515625" style="1" customWidth="1"/>
    <col min="9248" max="9477" width="9.140625" style="1"/>
    <col min="9478" max="9478" width="2.28515625" style="1" customWidth="1"/>
    <col min="9479" max="9479" width="20.5703125" style="1" customWidth="1"/>
    <col min="9480" max="9480" width="1.7109375" style="1" customWidth="1"/>
    <col min="9481" max="9481" width="13.140625" style="1" customWidth="1"/>
    <col min="9482" max="9492" width="13.7109375" style="1" customWidth="1"/>
    <col min="9493" max="9494" width="0" style="1" hidden="1" customWidth="1"/>
    <col min="9495" max="9495" width="1.7109375" style="1" customWidth="1"/>
    <col min="9496" max="9496" width="12.7109375" style="1" customWidth="1"/>
    <col min="9497" max="9497" width="7.5703125" style="1" customWidth="1"/>
    <col min="9498" max="9498" width="1.7109375" style="1" customWidth="1"/>
    <col min="9499" max="9501" width="14.7109375" style="1" customWidth="1"/>
    <col min="9502" max="9502" width="5.7109375" style="1" customWidth="1"/>
    <col min="9503" max="9503" width="2.28515625" style="1" customWidth="1"/>
    <col min="9504" max="9733" width="9.140625" style="1"/>
    <col min="9734" max="9734" width="2.28515625" style="1" customWidth="1"/>
    <col min="9735" max="9735" width="20.5703125" style="1" customWidth="1"/>
    <col min="9736" max="9736" width="1.7109375" style="1" customWidth="1"/>
    <col min="9737" max="9737" width="13.140625" style="1" customWidth="1"/>
    <col min="9738" max="9748" width="13.7109375" style="1" customWidth="1"/>
    <col min="9749" max="9750" width="0" style="1" hidden="1" customWidth="1"/>
    <col min="9751" max="9751" width="1.7109375" style="1" customWidth="1"/>
    <col min="9752" max="9752" width="12.7109375" style="1" customWidth="1"/>
    <col min="9753" max="9753" width="7.5703125" style="1" customWidth="1"/>
    <col min="9754" max="9754" width="1.7109375" style="1" customWidth="1"/>
    <col min="9755" max="9757" width="14.7109375" style="1" customWidth="1"/>
    <col min="9758" max="9758" width="5.7109375" style="1" customWidth="1"/>
    <col min="9759" max="9759" width="2.28515625" style="1" customWidth="1"/>
    <col min="9760" max="9989" width="9.140625" style="1"/>
    <col min="9990" max="9990" width="2.28515625" style="1" customWidth="1"/>
    <col min="9991" max="9991" width="20.5703125" style="1" customWidth="1"/>
    <col min="9992" max="9992" width="1.7109375" style="1" customWidth="1"/>
    <col min="9993" max="9993" width="13.140625" style="1" customWidth="1"/>
    <col min="9994" max="10004" width="13.7109375" style="1" customWidth="1"/>
    <col min="10005" max="10006" width="0" style="1" hidden="1" customWidth="1"/>
    <col min="10007" max="10007" width="1.7109375" style="1" customWidth="1"/>
    <col min="10008" max="10008" width="12.7109375" style="1" customWidth="1"/>
    <col min="10009" max="10009" width="7.5703125" style="1" customWidth="1"/>
    <col min="10010" max="10010" width="1.7109375" style="1" customWidth="1"/>
    <col min="10011" max="10013" width="14.7109375" style="1" customWidth="1"/>
    <col min="10014" max="10014" width="5.7109375" style="1" customWidth="1"/>
    <col min="10015" max="10015" width="2.28515625" style="1" customWidth="1"/>
    <col min="10016" max="10245" width="9.140625" style="1"/>
    <col min="10246" max="10246" width="2.28515625" style="1" customWidth="1"/>
    <col min="10247" max="10247" width="20.5703125" style="1" customWidth="1"/>
    <col min="10248" max="10248" width="1.7109375" style="1" customWidth="1"/>
    <col min="10249" max="10249" width="13.140625" style="1" customWidth="1"/>
    <col min="10250" max="10260" width="13.7109375" style="1" customWidth="1"/>
    <col min="10261" max="10262" width="0" style="1" hidden="1" customWidth="1"/>
    <col min="10263" max="10263" width="1.7109375" style="1" customWidth="1"/>
    <col min="10264" max="10264" width="12.7109375" style="1" customWidth="1"/>
    <col min="10265" max="10265" width="7.5703125" style="1" customWidth="1"/>
    <col min="10266" max="10266" width="1.7109375" style="1" customWidth="1"/>
    <col min="10267" max="10269" width="14.7109375" style="1" customWidth="1"/>
    <col min="10270" max="10270" width="5.7109375" style="1" customWidth="1"/>
    <col min="10271" max="10271" width="2.28515625" style="1" customWidth="1"/>
    <col min="10272" max="10501" width="9.140625" style="1"/>
    <col min="10502" max="10502" width="2.28515625" style="1" customWidth="1"/>
    <col min="10503" max="10503" width="20.5703125" style="1" customWidth="1"/>
    <col min="10504" max="10504" width="1.7109375" style="1" customWidth="1"/>
    <col min="10505" max="10505" width="13.140625" style="1" customWidth="1"/>
    <col min="10506" max="10516" width="13.7109375" style="1" customWidth="1"/>
    <col min="10517" max="10518" width="0" style="1" hidden="1" customWidth="1"/>
    <col min="10519" max="10519" width="1.7109375" style="1" customWidth="1"/>
    <col min="10520" max="10520" width="12.7109375" style="1" customWidth="1"/>
    <col min="10521" max="10521" width="7.5703125" style="1" customWidth="1"/>
    <col min="10522" max="10522" width="1.7109375" style="1" customWidth="1"/>
    <col min="10523" max="10525" width="14.7109375" style="1" customWidth="1"/>
    <col min="10526" max="10526" width="5.7109375" style="1" customWidth="1"/>
    <col min="10527" max="10527" width="2.28515625" style="1" customWidth="1"/>
    <col min="10528" max="10757" width="9.140625" style="1"/>
    <col min="10758" max="10758" width="2.28515625" style="1" customWidth="1"/>
    <col min="10759" max="10759" width="20.5703125" style="1" customWidth="1"/>
    <col min="10760" max="10760" width="1.7109375" style="1" customWidth="1"/>
    <col min="10761" max="10761" width="13.140625" style="1" customWidth="1"/>
    <col min="10762" max="10772" width="13.7109375" style="1" customWidth="1"/>
    <col min="10773" max="10774" width="0" style="1" hidden="1" customWidth="1"/>
    <col min="10775" max="10775" width="1.7109375" style="1" customWidth="1"/>
    <col min="10776" max="10776" width="12.7109375" style="1" customWidth="1"/>
    <col min="10777" max="10777" width="7.5703125" style="1" customWidth="1"/>
    <col min="10778" max="10778" width="1.7109375" style="1" customWidth="1"/>
    <col min="10779" max="10781" width="14.7109375" style="1" customWidth="1"/>
    <col min="10782" max="10782" width="5.7109375" style="1" customWidth="1"/>
    <col min="10783" max="10783" width="2.28515625" style="1" customWidth="1"/>
    <col min="10784" max="11013" width="9.140625" style="1"/>
    <col min="11014" max="11014" width="2.28515625" style="1" customWidth="1"/>
    <col min="11015" max="11015" width="20.5703125" style="1" customWidth="1"/>
    <col min="11016" max="11016" width="1.7109375" style="1" customWidth="1"/>
    <col min="11017" max="11017" width="13.140625" style="1" customWidth="1"/>
    <col min="11018" max="11028" width="13.7109375" style="1" customWidth="1"/>
    <col min="11029" max="11030" width="0" style="1" hidden="1" customWidth="1"/>
    <col min="11031" max="11031" width="1.7109375" style="1" customWidth="1"/>
    <col min="11032" max="11032" width="12.7109375" style="1" customWidth="1"/>
    <col min="11033" max="11033" width="7.5703125" style="1" customWidth="1"/>
    <col min="11034" max="11034" width="1.7109375" style="1" customWidth="1"/>
    <col min="11035" max="11037" width="14.7109375" style="1" customWidth="1"/>
    <col min="11038" max="11038" width="5.7109375" style="1" customWidth="1"/>
    <col min="11039" max="11039" width="2.28515625" style="1" customWidth="1"/>
    <col min="11040" max="11269" width="9.140625" style="1"/>
    <col min="11270" max="11270" width="2.28515625" style="1" customWidth="1"/>
    <col min="11271" max="11271" width="20.5703125" style="1" customWidth="1"/>
    <col min="11272" max="11272" width="1.7109375" style="1" customWidth="1"/>
    <col min="11273" max="11273" width="13.140625" style="1" customWidth="1"/>
    <col min="11274" max="11284" width="13.7109375" style="1" customWidth="1"/>
    <col min="11285" max="11286" width="0" style="1" hidden="1" customWidth="1"/>
    <col min="11287" max="11287" width="1.7109375" style="1" customWidth="1"/>
    <col min="11288" max="11288" width="12.7109375" style="1" customWidth="1"/>
    <col min="11289" max="11289" width="7.5703125" style="1" customWidth="1"/>
    <col min="11290" max="11290" width="1.7109375" style="1" customWidth="1"/>
    <col min="11291" max="11293" width="14.7109375" style="1" customWidth="1"/>
    <col min="11294" max="11294" width="5.7109375" style="1" customWidth="1"/>
    <col min="11295" max="11295" width="2.28515625" style="1" customWidth="1"/>
    <col min="11296" max="11525" width="9.140625" style="1"/>
    <col min="11526" max="11526" width="2.28515625" style="1" customWidth="1"/>
    <col min="11527" max="11527" width="20.5703125" style="1" customWidth="1"/>
    <col min="11528" max="11528" width="1.7109375" style="1" customWidth="1"/>
    <col min="11529" max="11529" width="13.140625" style="1" customWidth="1"/>
    <col min="11530" max="11540" width="13.7109375" style="1" customWidth="1"/>
    <col min="11541" max="11542" width="0" style="1" hidden="1" customWidth="1"/>
    <col min="11543" max="11543" width="1.7109375" style="1" customWidth="1"/>
    <col min="11544" max="11544" width="12.7109375" style="1" customWidth="1"/>
    <col min="11545" max="11545" width="7.5703125" style="1" customWidth="1"/>
    <col min="11546" max="11546" width="1.7109375" style="1" customWidth="1"/>
    <col min="11547" max="11549" width="14.7109375" style="1" customWidth="1"/>
    <col min="11550" max="11550" width="5.7109375" style="1" customWidth="1"/>
    <col min="11551" max="11551" width="2.28515625" style="1" customWidth="1"/>
    <col min="11552" max="11781" width="9.140625" style="1"/>
    <col min="11782" max="11782" width="2.28515625" style="1" customWidth="1"/>
    <col min="11783" max="11783" width="20.5703125" style="1" customWidth="1"/>
    <col min="11784" max="11784" width="1.7109375" style="1" customWidth="1"/>
    <col min="11785" max="11785" width="13.140625" style="1" customWidth="1"/>
    <col min="11786" max="11796" width="13.7109375" style="1" customWidth="1"/>
    <col min="11797" max="11798" width="0" style="1" hidden="1" customWidth="1"/>
    <col min="11799" max="11799" width="1.7109375" style="1" customWidth="1"/>
    <col min="11800" max="11800" width="12.7109375" style="1" customWidth="1"/>
    <col min="11801" max="11801" width="7.5703125" style="1" customWidth="1"/>
    <col min="11802" max="11802" width="1.7109375" style="1" customWidth="1"/>
    <col min="11803" max="11805" width="14.7109375" style="1" customWidth="1"/>
    <col min="11806" max="11806" width="5.7109375" style="1" customWidth="1"/>
    <col min="11807" max="11807" width="2.28515625" style="1" customWidth="1"/>
    <col min="11808" max="12037" width="9.140625" style="1"/>
    <col min="12038" max="12038" width="2.28515625" style="1" customWidth="1"/>
    <col min="12039" max="12039" width="20.5703125" style="1" customWidth="1"/>
    <col min="12040" max="12040" width="1.7109375" style="1" customWidth="1"/>
    <col min="12041" max="12041" width="13.140625" style="1" customWidth="1"/>
    <col min="12042" max="12052" width="13.7109375" style="1" customWidth="1"/>
    <col min="12053" max="12054" width="0" style="1" hidden="1" customWidth="1"/>
    <col min="12055" max="12055" width="1.7109375" style="1" customWidth="1"/>
    <col min="12056" max="12056" width="12.7109375" style="1" customWidth="1"/>
    <col min="12057" max="12057" width="7.5703125" style="1" customWidth="1"/>
    <col min="12058" max="12058" width="1.7109375" style="1" customWidth="1"/>
    <col min="12059" max="12061" width="14.7109375" style="1" customWidth="1"/>
    <col min="12062" max="12062" width="5.7109375" style="1" customWidth="1"/>
    <col min="12063" max="12063" width="2.28515625" style="1" customWidth="1"/>
    <col min="12064" max="12293" width="9.140625" style="1"/>
    <col min="12294" max="12294" width="2.28515625" style="1" customWidth="1"/>
    <col min="12295" max="12295" width="20.5703125" style="1" customWidth="1"/>
    <col min="12296" max="12296" width="1.7109375" style="1" customWidth="1"/>
    <col min="12297" max="12297" width="13.140625" style="1" customWidth="1"/>
    <col min="12298" max="12308" width="13.7109375" style="1" customWidth="1"/>
    <col min="12309" max="12310" width="0" style="1" hidden="1" customWidth="1"/>
    <col min="12311" max="12311" width="1.7109375" style="1" customWidth="1"/>
    <col min="12312" max="12312" width="12.7109375" style="1" customWidth="1"/>
    <col min="12313" max="12313" width="7.5703125" style="1" customWidth="1"/>
    <col min="12314" max="12314" width="1.7109375" style="1" customWidth="1"/>
    <col min="12315" max="12317" width="14.7109375" style="1" customWidth="1"/>
    <col min="12318" max="12318" width="5.7109375" style="1" customWidth="1"/>
    <col min="12319" max="12319" width="2.28515625" style="1" customWidth="1"/>
    <col min="12320" max="12549" width="9.140625" style="1"/>
    <col min="12550" max="12550" width="2.28515625" style="1" customWidth="1"/>
    <col min="12551" max="12551" width="20.5703125" style="1" customWidth="1"/>
    <col min="12552" max="12552" width="1.7109375" style="1" customWidth="1"/>
    <col min="12553" max="12553" width="13.140625" style="1" customWidth="1"/>
    <col min="12554" max="12564" width="13.7109375" style="1" customWidth="1"/>
    <col min="12565" max="12566" width="0" style="1" hidden="1" customWidth="1"/>
    <col min="12567" max="12567" width="1.7109375" style="1" customWidth="1"/>
    <col min="12568" max="12568" width="12.7109375" style="1" customWidth="1"/>
    <col min="12569" max="12569" width="7.5703125" style="1" customWidth="1"/>
    <col min="12570" max="12570" width="1.7109375" style="1" customWidth="1"/>
    <col min="12571" max="12573" width="14.7109375" style="1" customWidth="1"/>
    <col min="12574" max="12574" width="5.7109375" style="1" customWidth="1"/>
    <col min="12575" max="12575" width="2.28515625" style="1" customWidth="1"/>
    <col min="12576" max="12805" width="9.140625" style="1"/>
    <col min="12806" max="12806" width="2.28515625" style="1" customWidth="1"/>
    <col min="12807" max="12807" width="20.5703125" style="1" customWidth="1"/>
    <col min="12808" max="12808" width="1.7109375" style="1" customWidth="1"/>
    <col min="12809" max="12809" width="13.140625" style="1" customWidth="1"/>
    <col min="12810" max="12820" width="13.7109375" style="1" customWidth="1"/>
    <col min="12821" max="12822" width="0" style="1" hidden="1" customWidth="1"/>
    <col min="12823" max="12823" width="1.7109375" style="1" customWidth="1"/>
    <col min="12824" max="12824" width="12.7109375" style="1" customWidth="1"/>
    <col min="12825" max="12825" width="7.5703125" style="1" customWidth="1"/>
    <col min="12826" max="12826" width="1.7109375" style="1" customWidth="1"/>
    <col min="12827" max="12829" width="14.7109375" style="1" customWidth="1"/>
    <col min="12830" max="12830" width="5.7109375" style="1" customWidth="1"/>
    <col min="12831" max="12831" width="2.28515625" style="1" customWidth="1"/>
    <col min="12832" max="13061" width="9.140625" style="1"/>
    <col min="13062" max="13062" width="2.28515625" style="1" customWidth="1"/>
    <col min="13063" max="13063" width="20.5703125" style="1" customWidth="1"/>
    <col min="13064" max="13064" width="1.7109375" style="1" customWidth="1"/>
    <col min="13065" max="13065" width="13.140625" style="1" customWidth="1"/>
    <col min="13066" max="13076" width="13.7109375" style="1" customWidth="1"/>
    <col min="13077" max="13078" width="0" style="1" hidden="1" customWidth="1"/>
    <col min="13079" max="13079" width="1.7109375" style="1" customWidth="1"/>
    <col min="13080" max="13080" width="12.7109375" style="1" customWidth="1"/>
    <col min="13081" max="13081" width="7.5703125" style="1" customWidth="1"/>
    <col min="13082" max="13082" width="1.7109375" style="1" customWidth="1"/>
    <col min="13083" max="13085" width="14.7109375" style="1" customWidth="1"/>
    <col min="13086" max="13086" width="5.7109375" style="1" customWidth="1"/>
    <col min="13087" max="13087" width="2.28515625" style="1" customWidth="1"/>
    <col min="13088" max="13317" width="9.140625" style="1"/>
    <col min="13318" max="13318" width="2.28515625" style="1" customWidth="1"/>
    <col min="13319" max="13319" width="20.5703125" style="1" customWidth="1"/>
    <col min="13320" max="13320" width="1.7109375" style="1" customWidth="1"/>
    <col min="13321" max="13321" width="13.140625" style="1" customWidth="1"/>
    <col min="13322" max="13332" width="13.7109375" style="1" customWidth="1"/>
    <col min="13333" max="13334" width="0" style="1" hidden="1" customWidth="1"/>
    <col min="13335" max="13335" width="1.7109375" style="1" customWidth="1"/>
    <col min="13336" max="13336" width="12.7109375" style="1" customWidth="1"/>
    <col min="13337" max="13337" width="7.5703125" style="1" customWidth="1"/>
    <col min="13338" max="13338" width="1.7109375" style="1" customWidth="1"/>
    <col min="13339" max="13341" width="14.7109375" style="1" customWidth="1"/>
    <col min="13342" max="13342" width="5.7109375" style="1" customWidth="1"/>
    <col min="13343" max="13343" width="2.28515625" style="1" customWidth="1"/>
    <col min="13344" max="13573" width="9.140625" style="1"/>
    <col min="13574" max="13574" width="2.28515625" style="1" customWidth="1"/>
    <col min="13575" max="13575" width="20.5703125" style="1" customWidth="1"/>
    <col min="13576" max="13576" width="1.7109375" style="1" customWidth="1"/>
    <col min="13577" max="13577" width="13.140625" style="1" customWidth="1"/>
    <col min="13578" max="13588" width="13.7109375" style="1" customWidth="1"/>
    <col min="13589" max="13590" width="0" style="1" hidden="1" customWidth="1"/>
    <col min="13591" max="13591" width="1.7109375" style="1" customWidth="1"/>
    <col min="13592" max="13592" width="12.7109375" style="1" customWidth="1"/>
    <col min="13593" max="13593" width="7.5703125" style="1" customWidth="1"/>
    <col min="13594" max="13594" width="1.7109375" style="1" customWidth="1"/>
    <col min="13595" max="13597" width="14.7109375" style="1" customWidth="1"/>
    <col min="13598" max="13598" width="5.7109375" style="1" customWidth="1"/>
    <col min="13599" max="13599" width="2.28515625" style="1" customWidth="1"/>
    <col min="13600" max="13829" width="9.140625" style="1"/>
    <col min="13830" max="13830" width="2.28515625" style="1" customWidth="1"/>
    <col min="13831" max="13831" width="20.5703125" style="1" customWidth="1"/>
    <col min="13832" max="13832" width="1.7109375" style="1" customWidth="1"/>
    <col min="13833" max="13833" width="13.140625" style="1" customWidth="1"/>
    <col min="13834" max="13844" width="13.7109375" style="1" customWidth="1"/>
    <col min="13845" max="13846" width="0" style="1" hidden="1" customWidth="1"/>
    <col min="13847" max="13847" width="1.7109375" style="1" customWidth="1"/>
    <col min="13848" max="13848" width="12.7109375" style="1" customWidth="1"/>
    <col min="13849" max="13849" width="7.5703125" style="1" customWidth="1"/>
    <col min="13850" max="13850" width="1.7109375" style="1" customWidth="1"/>
    <col min="13851" max="13853" width="14.7109375" style="1" customWidth="1"/>
    <col min="13854" max="13854" width="5.7109375" style="1" customWidth="1"/>
    <col min="13855" max="13855" width="2.28515625" style="1" customWidth="1"/>
    <col min="13856" max="14085" width="9.140625" style="1"/>
    <col min="14086" max="14086" width="2.28515625" style="1" customWidth="1"/>
    <col min="14087" max="14087" width="20.5703125" style="1" customWidth="1"/>
    <col min="14088" max="14088" width="1.7109375" style="1" customWidth="1"/>
    <col min="14089" max="14089" width="13.140625" style="1" customWidth="1"/>
    <col min="14090" max="14100" width="13.7109375" style="1" customWidth="1"/>
    <col min="14101" max="14102" width="0" style="1" hidden="1" customWidth="1"/>
    <col min="14103" max="14103" width="1.7109375" style="1" customWidth="1"/>
    <col min="14104" max="14104" width="12.7109375" style="1" customWidth="1"/>
    <col min="14105" max="14105" width="7.5703125" style="1" customWidth="1"/>
    <col min="14106" max="14106" width="1.7109375" style="1" customWidth="1"/>
    <col min="14107" max="14109" width="14.7109375" style="1" customWidth="1"/>
    <col min="14110" max="14110" width="5.7109375" style="1" customWidth="1"/>
    <col min="14111" max="14111" width="2.28515625" style="1" customWidth="1"/>
    <col min="14112" max="14341" width="9.140625" style="1"/>
    <col min="14342" max="14342" width="2.28515625" style="1" customWidth="1"/>
    <col min="14343" max="14343" width="20.5703125" style="1" customWidth="1"/>
    <col min="14344" max="14344" width="1.7109375" style="1" customWidth="1"/>
    <col min="14345" max="14345" width="13.140625" style="1" customWidth="1"/>
    <col min="14346" max="14356" width="13.7109375" style="1" customWidth="1"/>
    <col min="14357" max="14358" width="0" style="1" hidden="1" customWidth="1"/>
    <col min="14359" max="14359" width="1.7109375" style="1" customWidth="1"/>
    <col min="14360" max="14360" width="12.7109375" style="1" customWidth="1"/>
    <col min="14361" max="14361" width="7.5703125" style="1" customWidth="1"/>
    <col min="14362" max="14362" width="1.7109375" style="1" customWidth="1"/>
    <col min="14363" max="14365" width="14.7109375" style="1" customWidth="1"/>
    <col min="14366" max="14366" width="5.7109375" style="1" customWidth="1"/>
    <col min="14367" max="14367" width="2.28515625" style="1" customWidth="1"/>
    <col min="14368" max="14597" width="9.140625" style="1"/>
    <col min="14598" max="14598" width="2.28515625" style="1" customWidth="1"/>
    <col min="14599" max="14599" width="20.5703125" style="1" customWidth="1"/>
    <col min="14600" max="14600" width="1.7109375" style="1" customWidth="1"/>
    <col min="14601" max="14601" width="13.140625" style="1" customWidth="1"/>
    <col min="14602" max="14612" width="13.7109375" style="1" customWidth="1"/>
    <col min="14613" max="14614" width="0" style="1" hidden="1" customWidth="1"/>
    <col min="14615" max="14615" width="1.7109375" style="1" customWidth="1"/>
    <col min="14616" max="14616" width="12.7109375" style="1" customWidth="1"/>
    <col min="14617" max="14617" width="7.5703125" style="1" customWidth="1"/>
    <col min="14618" max="14618" width="1.7109375" style="1" customWidth="1"/>
    <col min="14619" max="14621" width="14.7109375" style="1" customWidth="1"/>
    <col min="14622" max="14622" width="5.7109375" style="1" customWidth="1"/>
    <col min="14623" max="14623" width="2.28515625" style="1" customWidth="1"/>
    <col min="14624" max="14853" width="9.140625" style="1"/>
    <col min="14854" max="14854" width="2.28515625" style="1" customWidth="1"/>
    <col min="14855" max="14855" width="20.5703125" style="1" customWidth="1"/>
    <col min="14856" max="14856" width="1.7109375" style="1" customWidth="1"/>
    <col min="14857" max="14857" width="13.140625" style="1" customWidth="1"/>
    <col min="14858" max="14868" width="13.7109375" style="1" customWidth="1"/>
    <col min="14869" max="14870" width="0" style="1" hidden="1" customWidth="1"/>
    <col min="14871" max="14871" width="1.7109375" style="1" customWidth="1"/>
    <col min="14872" max="14872" width="12.7109375" style="1" customWidth="1"/>
    <col min="14873" max="14873" width="7.5703125" style="1" customWidth="1"/>
    <col min="14874" max="14874" width="1.7109375" style="1" customWidth="1"/>
    <col min="14875" max="14877" width="14.7109375" style="1" customWidth="1"/>
    <col min="14878" max="14878" width="5.7109375" style="1" customWidth="1"/>
    <col min="14879" max="14879" width="2.28515625" style="1" customWidth="1"/>
    <col min="14880" max="15109" width="9.140625" style="1"/>
    <col min="15110" max="15110" width="2.28515625" style="1" customWidth="1"/>
    <col min="15111" max="15111" width="20.5703125" style="1" customWidth="1"/>
    <col min="15112" max="15112" width="1.7109375" style="1" customWidth="1"/>
    <col min="15113" max="15113" width="13.140625" style="1" customWidth="1"/>
    <col min="15114" max="15124" width="13.7109375" style="1" customWidth="1"/>
    <col min="15125" max="15126" width="0" style="1" hidden="1" customWidth="1"/>
    <col min="15127" max="15127" width="1.7109375" style="1" customWidth="1"/>
    <col min="15128" max="15128" width="12.7109375" style="1" customWidth="1"/>
    <col min="15129" max="15129" width="7.5703125" style="1" customWidth="1"/>
    <col min="15130" max="15130" width="1.7109375" style="1" customWidth="1"/>
    <col min="15131" max="15133" width="14.7109375" style="1" customWidth="1"/>
    <col min="15134" max="15134" width="5.7109375" style="1" customWidth="1"/>
    <col min="15135" max="15135" width="2.28515625" style="1" customWidth="1"/>
    <col min="15136" max="15365" width="9.140625" style="1"/>
    <col min="15366" max="15366" width="2.28515625" style="1" customWidth="1"/>
    <col min="15367" max="15367" width="20.5703125" style="1" customWidth="1"/>
    <col min="15368" max="15368" width="1.7109375" style="1" customWidth="1"/>
    <col min="15369" max="15369" width="13.140625" style="1" customWidth="1"/>
    <col min="15370" max="15380" width="13.7109375" style="1" customWidth="1"/>
    <col min="15381" max="15382" width="0" style="1" hidden="1" customWidth="1"/>
    <col min="15383" max="15383" width="1.7109375" style="1" customWidth="1"/>
    <col min="15384" max="15384" width="12.7109375" style="1" customWidth="1"/>
    <col min="15385" max="15385" width="7.5703125" style="1" customWidth="1"/>
    <col min="15386" max="15386" width="1.7109375" style="1" customWidth="1"/>
    <col min="15387" max="15389" width="14.7109375" style="1" customWidth="1"/>
    <col min="15390" max="15390" width="5.7109375" style="1" customWidth="1"/>
    <col min="15391" max="15391" width="2.28515625" style="1" customWidth="1"/>
    <col min="15392" max="15621" width="9.140625" style="1"/>
    <col min="15622" max="15622" width="2.28515625" style="1" customWidth="1"/>
    <col min="15623" max="15623" width="20.5703125" style="1" customWidth="1"/>
    <col min="15624" max="15624" width="1.7109375" style="1" customWidth="1"/>
    <col min="15625" max="15625" width="13.140625" style="1" customWidth="1"/>
    <col min="15626" max="15636" width="13.7109375" style="1" customWidth="1"/>
    <col min="15637" max="15638" width="0" style="1" hidden="1" customWidth="1"/>
    <col min="15639" max="15639" width="1.7109375" style="1" customWidth="1"/>
    <col min="15640" max="15640" width="12.7109375" style="1" customWidth="1"/>
    <col min="15641" max="15641" width="7.5703125" style="1" customWidth="1"/>
    <col min="15642" max="15642" width="1.7109375" style="1" customWidth="1"/>
    <col min="15643" max="15645" width="14.7109375" style="1" customWidth="1"/>
    <col min="15646" max="15646" width="5.7109375" style="1" customWidth="1"/>
    <col min="15647" max="15647" width="2.28515625" style="1" customWidth="1"/>
    <col min="15648" max="15877" width="9.140625" style="1"/>
    <col min="15878" max="15878" width="2.28515625" style="1" customWidth="1"/>
    <col min="15879" max="15879" width="20.5703125" style="1" customWidth="1"/>
    <col min="15880" max="15880" width="1.7109375" style="1" customWidth="1"/>
    <col min="15881" max="15881" width="13.140625" style="1" customWidth="1"/>
    <col min="15882" max="15892" width="13.7109375" style="1" customWidth="1"/>
    <col min="15893" max="15894" width="0" style="1" hidden="1" customWidth="1"/>
    <col min="15895" max="15895" width="1.7109375" style="1" customWidth="1"/>
    <col min="15896" max="15896" width="12.7109375" style="1" customWidth="1"/>
    <col min="15897" max="15897" width="7.5703125" style="1" customWidth="1"/>
    <col min="15898" max="15898" width="1.7109375" style="1" customWidth="1"/>
    <col min="15899" max="15901" width="14.7109375" style="1" customWidth="1"/>
    <col min="15902" max="15902" width="5.7109375" style="1" customWidth="1"/>
    <col min="15903" max="15903" width="2.28515625" style="1" customWidth="1"/>
    <col min="15904" max="16133" width="9.140625" style="1"/>
    <col min="16134" max="16134" width="2.28515625" style="1" customWidth="1"/>
    <col min="16135" max="16135" width="20.5703125" style="1" customWidth="1"/>
    <col min="16136" max="16136" width="1.7109375" style="1" customWidth="1"/>
    <col min="16137" max="16137" width="13.140625" style="1" customWidth="1"/>
    <col min="16138" max="16148" width="13.7109375" style="1" customWidth="1"/>
    <col min="16149" max="16150" width="0" style="1" hidden="1" customWidth="1"/>
    <col min="16151" max="16151" width="1.7109375" style="1" customWidth="1"/>
    <col min="16152" max="16152" width="12.7109375" style="1" customWidth="1"/>
    <col min="16153" max="16153" width="7.5703125" style="1" customWidth="1"/>
    <col min="16154" max="16154" width="1.7109375" style="1" customWidth="1"/>
    <col min="16155" max="16157" width="14.7109375" style="1" customWidth="1"/>
    <col min="16158" max="16158" width="5.7109375" style="1" customWidth="1"/>
    <col min="16159" max="16159" width="2.28515625" style="1" customWidth="1"/>
    <col min="16160" max="16384" width="9.140625" style="1"/>
  </cols>
  <sheetData>
    <row r="1" spans="2:30" x14ac:dyDescent="0.2">
      <c r="B1" s="2" t="s">
        <v>148</v>
      </c>
      <c r="P1" s="4"/>
      <c r="Q1" s="4"/>
      <c r="R1" s="4"/>
      <c r="S1" s="4"/>
    </row>
    <row r="2" spans="2:30" s="7" customFormat="1" ht="5.0999999999999996" customHeight="1" x14ac:dyDescent="0.2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9"/>
      <c r="V2" s="9"/>
      <c r="W2" s="10"/>
      <c r="X2" s="9"/>
      <c r="Y2" s="9"/>
      <c r="Z2" s="10"/>
      <c r="AA2" s="9"/>
      <c r="AB2" s="9"/>
      <c r="AC2" s="9"/>
    </row>
    <row r="3" spans="2:30" s="7" customFormat="1" x14ac:dyDescent="0.2">
      <c r="B3" s="11" t="s">
        <v>0</v>
      </c>
      <c r="C3" s="8"/>
      <c r="D3" s="12" t="s">
        <v>149</v>
      </c>
      <c r="E3" s="12" t="s">
        <v>152</v>
      </c>
      <c r="F3" s="147" t="s">
        <v>150</v>
      </c>
      <c r="G3" s="12" t="s">
        <v>1</v>
      </c>
      <c r="H3" s="12" t="s">
        <v>2</v>
      </c>
      <c r="I3" s="147" t="s">
        <v>111</v>
      </c>
      <c r="J3" s="12" t="s">
        <v>109</v>
      </c>
      <c r="K3" s="165" t="s">
        <v>112</v>
      </c>
      <c r="L3" s="12" t="s">
        <v>3</v>
      </c>
      <c r="M3" s="12" t="s">
        <v>4</v>
      </c>
      <c r="N3" s="12" t="s">
        <v>5</v>
      </c>
      <c r="O3" s="12" t="s">
        <v>6</v>
      </c>
      <c r="P3" s="12" t="s">
        <v>7</v>
      </c>
      <c r="Q3" s="12" t="s">
        <v>8</v>
      </c>
      <c r="R3" s="12" t="s">
        <v>9</v>
      </c>
      <c r="S3" s="13" t="s">
        <v>10</v>
      </c>
      <c r="T3" s="14" t="s">
        <v>11</v>
      </c>
      <c r="U3" s="15" t="s">
        <v>12</v>
      </c>
      <c r="V3" s="15" t="s">
        <v>13</v>
      </c>
      <c r="W3" s="10"/>
      <c r="X3" s="682" t="s">
        <v>14</v>
      </c>
      <c r="Y3" s="683"/>
      <c r="Z3" s="10"/>
    </row>
    <row r="4" spans="2:30" ht="5.0999999999999996" customHeight="1" x14ac:dyDescent="0.2">
      <c r="D4" s="5"/>
      <c r="E4" s="5"/>
      <c r="F4" s="154"/>
      <c r="G4" s="5"/>
      <c r="H4" s="5"/>
      <c r="I4" s="154"/>
      <c r="J4" s="5"/>
      <c r="K4" s="5"/>
      <c r="L4" s="5"/>
      <c r="M4" s="5"/>
      <c r="N4" s="5"/>
      <c r="O4" s="5"/>
      <c r="P4" s="5"/>
      <c r="Q4" s="5"/>
      <c r="R4" s="5"/>
      <c r="S4" s="5"/>
    </row>
    <row r="5" spans="2:30" x14ac:dyDescent="0.2">
      <c r="B5" s="16" t="s">
        <v>15</v>
      </c>
      <c r="D5" s="17">
        <f>D41</f>
        <v>3073618</v>
      </c>
      <c r="E5" s="17">
        <f>E41</f>
        <v>2730915.36</v>
      </c>
      <c r="F5" s="158">
        <f>D5-E5</f>
        <v>342702.64000000013</v>
      </c>
      <c r="G5" s="17">
        <v>2827475</v>
      </c>
      <c r="H5" s="17">
        <f>H41</f>
        <v>2588050</v>
      </c>
      <c r="I5" s="158">
        <f>G5-H5</f>
        <v>239425</v>
      </c>
      <c r="J5" s="17">
        <v>3025526</v>
      </c>
      <c r="K5" s="166">
        <f>+G5-J5</f>
        <v>-198051</v>
      </c>
      <c r="L5" s="17">
        <v>2822420.09</v>
      </c>
      <c r="M5" s="17">
        <v>3031936.6966770417</v>
      </c>
      <c r="N5" s="17">
        <f>N41</f>
        <v>2891636.3699999996</v>
      </c>
      <c r="O5" s="17">
        <f t="shared" ref="O5:V5" si="0">O41</f>
        <v>2830631</v>
      </c>
      <c r="P5" s="17">
        <f t="shared" si="0"/>
        <v>2676421</v>
      </c>
      <c r="Q5" s="17">
        <f t="shared" si="0"/>
        <v>2506157</v>
      </c>
      <c r="R5" s="17">
        <f t="shared" si="0"/>
        <v>2607225</v>
      </c>
      <c r="S5" s="17">
        <f t="shared" si="0"/>
        <v>2540084.86</v>
      </c>
      <c r="T5" s="17">
        <f t="shared" si="0"/>
        <v>2619960.0700000008</v>
      </c>
      <c r="U5" s="17">
        <f t="shared" si="0"/>
        <v>2440441.46</v>
      </c>
      <c r="V5" s="17">
        <f t="shared" si="0"/>
        <v>2527094.8499999992</v>
      </c>
      <c r="W5" s="18"/>
      <c r="X5" s="19">
        <f>G5-H5</f>
        <v>239425</v>
      </c>
      <c r="Y5" s="20">
        <f>X5/H5</f>
        <v>9.2511736635690969E-2</v>
      </c>
      <c r="Z5" s="18"/>
      <c r="AD5" s="21"/>
    </row>
    <row r="6" spans="2:30" s="2" customFormat="1" x14ac:dyDescent="0.2">
      <c r="B6" s="22" t="s">
        <v>16</v>
      </c>
      <c r="C6" s="4"/>
      <c r="D6" s="23">
        <f>SUM(D5)</f>
        <v>3073618</v>
      </c>
      <c r="E6" s="23">
        <f>SUM(E5)</f>
        <v>2730915.36</v>
      </c>
      <c r="F6" s="148">
        <f t="shared" ref="F6:F25" si="1">D6-E6</f>
        <v>342702.64000000013</v>
      </c>
      <c r="G6" s="23">
        <f>SUM(G5)</f>
        <v>2827475</v>
      </c>
      <c r="H6" s="23">
        <f>SUM(H5)</f>
        <v>2588050</v>
      </c>
      <c r="I6" s="148">
        <f t="shared" ref="I6:I25" si="2">G6-H6</f>
        <v>239425</v>
      </c>
      <c r="J6" s="23">
        <f>SUM(J5)</f>
        <v>3025526</v>
      </c>
      <c r="K6" s="167">
        <f>SUM(K5)</f>
        <v>-198051</v>
      </c>
      <c r="L6" s="23">
        <v>2822420.09</v>
      </c>
      <c r="M6" s="23">
        <v>3031936.6966770417</v>
      </c>
      <c r="N6" s="23">
        <f>SUM(N5)</f>
        <v>2891636.3699999996</v>
      </c>
      <c r="O6" s="23">
        <f t="shared" ref="O6:V6" si="3">SUM(O5)</f>
        <v>2830631</v>
      </c>
      <c r="P6" s="23">
        <f t="shared" si="3"/>
        <v>2676421</v>
      </c>
      <c r="Q6" s="23">
        <f t="shared" si="3"/>
        <v>2506157</v>
      </c>
      <c r="R6" s="23">
        <f t="shared" si="3"/>
        <v>2607225</v>
      </c>
      <c r="S6" s="23">
        <f t="shared" si="3"/>
        <v>2540084.86</v>
      </c>
      <c r="T6" s="23">
        <f t="shared" si="3"/>
        <v>2619960.0700000008</v>
      </c>
      <c r="U6" s="23">
        <f t="shared" si="3"/>
        <v>2440441.46</v>
      </c>
      <c r="V6" s="24">
        <f t="shared" si="3"/>
        <v>2527094.8499999992</v>
      </c>
      <c r="W6" s="25"/>
      <c r="X6" s="26">
        <f t="shared" ref="X6:X25" si="4">G6-H6</f>
        <v>239425</v>
      </c>
      <c r="Y6" s="27">
        <f>X6/H6</f>
        <v>9.2511736635690969E-2</v>
      </c>
      <c r="Z6" s="25"/>
      <c r="AA6" s="28"/>
      <c r="AB6" s="28"/>
      <c r="AC6" s="28"/>
      <c r="AD6" s="29"/>
    </row>
    <row r="7" spans="2:30" x14ac:dyDescent="0.2">
      <c r="B7" s="30"/>
      <c r="D7" s="31"/>
      <c r="E7" s="31"/>
      <c r="F7" s="148">
        <f t="shared" si="1"/>
        <v>0</v>
      </c>
      <c r="G7" s="31"/>
      <c r="H7" s="31"/>
      <c r="I7" s="148">
        <f t="shared" si="2"/>
        <v>0</v>
      </c>
      <c r="J7" s="31"/>
      <c r="K7" s="168"/>
      <c r="L7" s="31"/>
      <c r="M7" s="31"/>
      <c r="N7" s="31"/>
      <c r="O7" s="31"/>
      <c r="P7" s="31"/>
      <c r="Q7" s="31"/>
      <c r="R7" s="31"/>
      <c r="S7" s="31"/>
      <c r="T7" s="31"/>
      <c r="U7" s="31"/>
      <c r="V7" s="32"/>
      <c r="W7" s="18"/>
      <c r="X7" s="26">
        <f t="shared" si="4"/>
        <v>0</v>
      </c>
      <c r="Y7" s="27"/>
      <c r="Z7" s="18"/>
      <c r="AD7" s="21"/>
    </row>
    <row r="8" spans="2:30" x14ac:dyDescent="0.2">
      <c r="B8" s="30" t="s">
        <v>17</v>
      </c>
      <c r="D8" s="31">
        <f>D51+D65</f>
        <v>1160225.9000000001</v>
      </c>
      <c r="E8" s="31">
        <f>E51+E65</f>
        <v>1061411</v>
      </c>
      <c r="F8" s="148">
        <f t="shared" si="1"/>
        <v>98814.90000000014</v>
      </c>
      <c r="G8" s="31">
        <v>1140816.9060999998</v>
      </c>
      <c r="H8" s="31">
        <f>H51+H65</f>
        <v>1010975</v>
      </c>
      <c r="I8" s="148">
        <f t="shared" si="2"/>
        <v>129841.90609999979</v>
      </c>
      <c r="J8" s="31">
        <v>1088697</v>
      </c>
      <c r="K8" s="168">
        <f t="shared" ref="K8:K12" si="5">+G8-J8</f>
        <v>52119.906099999789</v>
      </c>
      <c r="L8" s="31">
        <v>1034343.2444440001</v>
      </c>
      <c r="M8" s="31">
        <v>1082722.79</v>
      </c>
      <c r="N8" s="31">
        <f>N51+N65</f>
        <v>1014329.7599999999</v>
      </c>
      <c r="O8" s="31">
        <f>O51+O65</f>
        <v>982265</v>
      </c>
      <c r="P8" s="31">
        <f>P51+P65</f>
        <v>876903</v>
      </c>
      <c r="Q8" s="31">
        <f t="shared" ref="Q8:V8" si="6">Q51+Q65</f>
        <v>727173</v>
      </c>
      <c r="R8" s="31">
        <f t="shared" si="6"/>
        <v>712479</v>
      </c>
      <c r="S8" s="31">
        <f t="shared" si="6"/>
        <v>713560.67999999993</v>
      </c>
      <c r="T8" s="31">
        <f t="shared" si="6"/>
        <v>716645.91999999993</v>
      </c>
      <c r="U8" s="31">
        <f t="shared" si="6"/>
        <v>698327.63</v>
      </c>
      <c r="V8" s="31">
        <f t="shared" si="6"/>
        <v>601463.12</v>
      </c>
      <c r="W8" s="18"/>
      <c r="X8" s="26">
        <f t="shared" si="4"/>
        <v>129841.90609999979</v>
      </c>
      <c r="Y8" s="27">
        <f t="shared" ref="Y8:Y13" si="7">X8/H8</f>
        <v>0.12843236093869759</v>
      </c>
      <c r="Z8" s="18"/>
      <c r="AD8" s="21"/>
    </row>
    <row r="9" spans="2:30" x14ac:dyDescent="0.2">
      <c r="B9" s="30" t="s">
        <v>18</v>
      </c>
      <c r="D9" s="31">
        <f>D83+D103</f>
        <v>1170801.28</v>
      </c>
      <c r="E9" s="31">
        <f>E83+E103</f>
        <v>917709.14999999991</v>
      </c>
      <c r="F9" s="148">
        <f t="shared" si="1"/>
        <v>253092.13000000012</v>
      </c>
      <c r="G9" s="31">
        <v>1099121.3400000003</v>
      </c>
      <c r="H9" s="31">
        <f>H83+H103</f>
        <v>644808</v>
      </c>
      <c r="I9" s="148">
        <f t="shared" si="2"/>
        <v>454313.34000000032</v>
      </c>
      <c r="J9" s="31">
        <v>1099990</v>
      </c>
      <c r="K9" s="168">
        <f t="shared" si="5"/>
        <v>-868.65999999968335</v>
      </c>
      <c r="L9" s="31">
        <v>1058935.5349999999</v>
      </c>
      <c r="M9" s="31">
        <v>1145905.8500000001</v>
      </c>
      <c r="N9" s="31">
        <f>N83+N103</f>
        <v>1116228.8</v>
      </c>
      <c r="O9" s="31">
        <f>O83+O103</f>
        <v>1173498</v>
      </c>
      <c r="P9" s="31">
        <f>P83+P103</f>
        <v>1174476</v>
      </c>
      <c r="Q9" s="31">
        <f t="shared" ref="Q9:V9" si="8">Q83+Q103</f>
        <v>1183518</v>
      </c>
      <c r="R9" s="31">
        <f t="shared" si="8"/>
        <v>1247781</v>
      </c>
      <c r="S9" s="31">
        <f t="shared" si="8"/>
        <v>1301540.4800000002</v>
      </c>
      <c r="T9" s="31">
        <f t="shared" si="8"/>
        <v>1227861.96</v>
      </c>
      <c r="U9" s="31">
        <f t="shared" si="8"/>
        <v>1200332.8900000001</v>
      </c>
      <c r="V9" s="31">
        <f t="shared" si="8"/>
        <v>1284277.8799999999</v>
      </c>
      <c r="W9" s="18"/>
      <c r="X9" s="26">
        <f t="shared" si="4"/>
        <v>454313.34000000032</v>
      </c>
      <c r="Y9" s="27">
        <f t="shared" si="7"/>
        <v>0.70457150035359417</v>
      </c>
      <c r="Z9" s="18"/>
      <c r="AD9" s="21"/>
    </row>
    <row r="10" spans="2:30" x14ac:dyDescent="0.2">
      <c r="B10" s="30" t="s">
        <v>19</v>
      </c>
      <c r="D10" s="31">
        <f>D119+D133</f>
        <v>431094.75</v>
      </c>
      <c r="E10" s="31">
        <f>E119+E133</f>
        <v>364865.12866644404</v>
      </c>
      <c r="F10" s="148">
        <f t="shared" si="1"/>
        <v>66229.621333555959</v>
      </c>
      <c r="G10" s="31">
        <v>378189.53999999992</v>
      </c>
      <c r="H10" s="31">
        <f>H119+H133</f>
        <v>223967</v>
      </c>
      <c r="I10" s="148">
        <f t="shared" si="2"/>
        <v>154222.53999999992</v>
      </c>
      <c r="J10" s="31">
        <v>409493</v>
      </c>
      <c r="K10" s="168">
        <f t="shared" si="5"/>
        <v>-31303.460000000079</v>
      </c>
      <c r="L10" s="31">
        <v>403433.6650000001</v>
      </c>
      <c r="M10" s="31">
        <v>382443.99000000005</v>
      </c>
      <c r="N10" s="31">
        <f>N119+N133</f>
        <v>378351.11999999988</v>
      </c>
      <c r="O10" s="31">
        <f>O119+O133</f>
        <v>370209.5</v>
      </c>
      <c r="P10" s="31">
        <f>P119+P133</f>
        <v>365998</v>
      </c>
      <c r="Q10" s="31">
        <f t="shared" ref="Q10:V10" si="9">Q119+Q133</f>
        <v>321111</v>
      </c>
      <c r="R10" s="31">
        <f t="shared" si="9"/>
        <v>362345</v>
      </c>
      <c r="S10" s="31">
        <f t="shared" si="9"/>
        <v>378447.44000000006</v>
      </c>
      <c r="T10" s="31">
        <f t="shared" si="9"/>
        <v>407987.87</v>
      </c>
      <c r="U10" s="31">
        <f t="shared" si="9"/>
        <v>372031.79000000004</v>
      </c>
      <c r="V10" s="31">
        <f t="shared" si="9"/>
        <v>366324.33</v>
      </c>
      <c r="W10" s="18"/>
      <c r="X10" s="26">
        <f t="shared" si="4"/>
        <v>154222.53999999992</v>
      </c>
      <c r="Y10" s="27">
        <f t="shared" si="7"/>
        <v>0.68859492693119928</v>
      </c>
      <c r="Z10" s="18"/>
      <c r="AD10" s="21"/>
    </row>
    <row r="11" spans="2:30" x14ac:dyDescent="0.2">
      <c r="B11" s="30" t="s">
        <v>20</v>
      </c>
      <c r="D11" s="31">
        <f>D154+D160</f>
        <v>82400</v>
      </c>
      <c r="E11" s="31">
        <f>E154+E160</f>
        <v>74251.5</v>
      </c>
      <c r="F11" s="148">
        <f t="shared" si="1"/>
        <v>8148.5</v>
      </c>
      <c r="G11" s="31">
        <v>71291.670000000013</v>
      </c>
      <c r="H11" s="31">
        <f>H154+H160</f>
        <v>54479</v>
      </c>
      <c r="I11" s="148">
        <f t="shared" si="2"/>
        <v>16812.670000000013</v>
      </c>
      <c r="J11" s="31">
        <v>63510</v>
      </c>
      <c r="K11" s="168">
        <f>+G11-J11</f>
        <v>7781.6700000000128</v>
      </c>
      <c r="L11" s="31">
        <v>67591.350000000006</v>
      </c>
      <c r="M11" s="31">
        <v>61728.23</v>
      </c>
      <c r="N11" s="31">
        <f>N154+N160</f>
        <v>67931.76999999999</v>
      </c>
      <c r="O11" s="31">
        <f>O154+O160</f>
        <v>57132</v>
      </c>
      <c r="P11" s="31">
        <f>P154+P160</f>
        <v>57299</v>
      </c>
      <c r="Q11" s="31">
        <f t="shared" ref="Q11:V11" si="10">Q154+Q160</f>
        <v>52477</v>
      </c>
      <c r="R11" s="31">
        <f t="shared" si="10"/>
        <v>38403</v>
      </c>
      <c r="S11" s="31">
        <f t="shared" si="10"/>
        <v>35930.61</v>
      </c>
      <c r="T11" s="31">
        <f t="shared" si="10"/>
        <v>48256</v>
      </c>
      <c r="U11" s="31">
        <f t="shared" si="10"/>
        <v>39644.18</v>
      </c>
      <c r="V11" s="31">
        <f t="shared" si="10"/>
        <v>44376.94</v>
      </c>
      <c r="W11" s="18"/>
      <c r="X11" s="26">
        <f t="shared" si="4"/>
        <v>16812.670000000013</v>
      </c>
      <c r="Y11" s="27">
        <f t="shared" si="7"/>
        <v>0.30860827107692895</v>
      </c>
      <c r="Z11" s="18"/>
      <c r="AD11" s="21"/>
    </row>
    <row r="12" spans="2:30" x14ac:dyDescent="0.2">
      <c r="B12" s="33" t="s">
        <v>21</v>
      </c>
      <c r="D12" s="35">
        <f>D172</f>
        <v>266000</v>
      </c>
      <c r="E12" s="35">
        <f>E172</f>
        <v>283692</v>
      </c>
      <c r="F12" s="149">
        <f t="shared" si="1"/>
        <v>-17692</v>
      </c>
      <c r="G12" s="34">
        <v>198250</v>
      </c>
      <c r="H12" s="35">
        <f>H172</f>
        <v>139546</v>
      </c>
      <c r="I12" s="149">
        <f t="shared" si="2"/>
        <v>58704</v>
      </c>
      <c r="J12" s="146">
        <v>262888</v>
      </c>
      <c r="K12" s="169">
        <f t="shared" si="5"/>
        <v>-64638</v>
      </c>
      <c r="L12" s="34">
        <v>258116.99</v>
      </c>
      <c r="M12" s="34">
        <v>191616.54</v>
      </c>
      <c r="N12" s="34">
        <f>N172</f>
        <v>238312.47</v>
      </c>
      <c r="O12" s="34">
        <f>O172</f>
        <v>185013.5</v>
      </c>
      <c r="P12" s="34">
        <f>P172</f>
        <v>227418</v>
      </c>
      <c r="Q12" s="34">
        <f t="shared" ref="Q12:V12" si="11">Q172</f>
        <v>221640</v>
      </c>
      <c r="R12" s="34">
        <f t="shared" si="11"/>
        <v>240211</v>
      </c>
      <c r="S12" s="34">
        <f t="shared" si="11"/>
        <v>211910.52999999997</v>
      </c>
      <c r="T12" s="34">
        <f t="shared" si="11"/>
        <v>216161.22999999998</v>
      </c>
      <c r="U12" s="34">
        <f t="shared" si="11"/>
        <v>142821.57</v>
      </c>
      <c r="V12" s="34">
        <f t="shared" si="11"/>
        <v>228619.82</v>
      </c>
      <c r="W12" s="18"/>
      <c r="X12" s="35">
        <f t="shared" si="4"/>
        <v>58704</v>
      </c>
      <c r="Y12" s="36">
        <f t="shared" si="7"/>
        <v>0.42067848594728618</v>
      </c>
      <c r="Z12" s="18"/>
      <c r="AD12" s="21"/>
    </row>
    <row r="13" spans="2:30" s="2" customFormat="1" x14ac:dyDescent="0.2">
      <c r="B13" s="22" t="s">
        <v>22</v>
      </c>
      <c r="C13" s="4"/>
      <c r="D13" s="24">
        <f>SUM(D8:D12)</f>
        <v>3110521.93</v>
      </c>
      <c r="E13" s="24">
        <f>SUM(E8:E12)</f>
        <v>2701928.7786664441</v>
      </c>
      <c r="F13" s="152">
        <f t="shared" si="1"/>
        <v>408593.15133355604</v>
      </c>
      <c r="G13" s="24">
        <f>SUM(G8:G12)</f>
        <v>2887669.4561000001</v>
      </c>
      <c r="H13" s="24">
        <f>SUM(H8:H12)</f>
        <v>2073775</v>
      </c>
      <c r="I13" s="152">
        <f t="shared" si="2"/>
        <v>813894.45610000007</v>
      </c>
      <c r="J13" s="24">
        <f>SUM(J8:J12)</f>
        <v>2924578</v>
      </c>
      <c r="K13" s="170">
        <f>SUM(K8:K12)</f>
        <v>-36908.543899999961</v>
      </c>
      <c r="L13" s="24">
        <v>2822420.7844440006</v>
      </c>
      <c r="M13" s="24">
        <v>2864417.4000000004</v>
      </c>
      <c r="N13" s="24">
        <f>SUM(N8:N12)</f>
        <v>2815153.92</v>
      </c>
      <c r="O13" s="24">
        <f>SUM(O8:O12)</f>
        <v>2768118</v>
      </c>
      <c r="P13" s="24">
        <f t="shared" ref="P13:V13" si="12">SUM(P8:P12)</f>
        <v>2702094</v>
      </c>
      <c r="Q13" s="24">
        <f t="shared" si="12"/>
        <v>2505919</v>
      </c>
      <c r="R13" s="24">
        <f t="shared" si="12"/>
        <v>2601219</v>
      </c>
      <c r="S13" s="24">
        <f t="shared" si="12"/>
        <v>2641389.7399999998</v>
      </c>
      <c r="T13" s="24">
        <f t="shared" si="12"/>
        <v>2616912.98</v>
      </c>
      <c r="U13" s="24">
        <f t="shared" si="12"/>
        <v>2453158.06</v>
      </c>
      <c r="V13" s="24">
        <f t="shared" si="12"/>
        <v>2525062.09</v>
      </c>
      <c r="W13" s="25"/>
      <c r="X13" s="26">
        <f t="shared" si="4"/>
        <v>813894.45610000007</v>
      </c>
      <c r="Y13" s="27">
        <f t="shared" si="7"/>
        <v>0.39246999124784515</v>
      </c>
      <c r="Z13" s="25"/>
      <c r="AA13" s="28"/>
      <c r="AB13" s="28"/>
      <c r="AC13" s="28"/>
      <c r="AD13" s="29"/>
    </row>
    <row r="14" spans="2:30" x14ac:dyDescent="0.2">
      <c r="B14" s="30"/>
      <c r="D14" s="31"/>
      <c r="E14" s="31"/>
      <c r="F14" s="148">
        <f t="shared" si="1"/>
        <v>0</v>
      </c>
      <c r="G14" s="31"/>
      <c r="H14" s="31"/>
      <c r="I14" s="148">
        <f t="shared" si="2"/>
        <v>0</v>
      </c>
      <c r="J14" s="31"/>
      <c r="K14" s="168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  <c r="W14" s="18"/>
      <c r="X14" s="26">
        <f t="shared" si="4"/>
        <v>0</v>
      </c>
      <c r="Y14" s="27"/>
      <c r="Z14" s="18"/>
      <c r="AD14" s="21"/>
    </row>
    <row r="15" spans="2:30" ht="12" customHeight="1" x14ac:dyDescent="0.2">
      <c r="B15" s="30" t="s">
        <v>23</v>
      </c>
      <c r="D15" s="31">
        <v>-1140358</v>
      </c>
      <c r="E15" s="31">
        <v>-956333</v>
      </c>
      <c r="F15" s="148">
        <f t="shared" si="1"/>
        <v>-184025</v>
      </c>
      <c r="G15" s="31">
        <v>-971514</v>
      </c>
      <c r="H15" s="31">
        <v>-870465</v>
      </c>
      <c r="I15" s="148">
        <f t="shared" si="2"/>
        <v>-101049</v>
      </c>
      <c r="J15" s="31">
        <v>-749079</v>
      </c>
      <c r="K15" s="168">
        <f t="shared" ref="K15:K16" si="13">+G15-J15</f>
        <v>-222435</v>
      </c>
      <c r="L15" s="31">
        <v>667940</v>
      </c>
      <c r="M15" s="31">
        <v>-425800.87</v>
      </c>
      <c r="N15" s="31">
        <v>-495836</v>
      </c>
      <c r="O15" s="31">
        <v>-562706</v>
      </c>
      <c r="P15" s="31">
        <v>-588347</v>
      </c>
      <c r="Q15" s="31">
        <v>-711228.56997812283</v>
      </c>
      <c r="R15" s="31">
        <v>-724315</v>
      </c>
      <c r="S15" s="31">
        <v>-702283</v>
      </c>
      <c r="T15" s="31">
        <v>-796448.62</v>
      </c>
      <c r="U15" s="31">
        <v>-935478.66</v>
      </c>
      <c r="V15" s="32">
        <v>-808439.03</v>
      </c>
      <c r="W15" s="18"/>
      <c r="X15" s="26">
        <f t="shared" si="4"/>
        <v>-101049</v>
      </c>
      <c r="Y15" s="27">
        <f>IF(H15=0,0,X15/H15)</f>
        <v>0.11608622977374163</v>
      </c>
      <c r="Z15" s="18"/>
      <c r="AD15" s="21"/>
    </row>
    <row r="16" spans="2:30" ht="12" customHeight="1" x14ac:dyDescent="0.2">
      <c r="B16" s="30" t="s">
        <v>24</v>
      </c>
      <c r="D16" s="31">
        <f>-D15</f>
        <v>1140358</v>
      </c>
      <c r="E16" s="31">
        <f>-E15</f>
        <v>956333</v>
      </c>
      <c r="F16" s="148">
        <f t="shared" si="1"/>
        <v>184025</v>
      </c>
      <c r="G16" s="31">
        <v>971514</v>
      </c>
      <c r="H16" s="31">
        <v>870465</v>
      </c>
      <c r="I16" s="148">
        <f t="shared" si="2"/>
        <v>101049</v>
      </c>
      <c r="J16" s="31">
        <v>749079</v>
      </c>
      <c r="K16" s="168">
        <f t="shared" si="13"/>
        <v>222435</v>
      </c>
      <c r="L16" s="31">
        <v>-667940</v>
      </c>
      <c r="M16" s="31">
        <v>425800.87</v>
      </c>
      <c r="N16" s="31">
        <f>-N15</f>
        <v>495836</v>
      </c>
      <c r="O16" s="31">
        <v>562706</v>
      </c>
      <c r="P16" s="31">
        <v>588347</v>
      </c>
      <c r="Q16" s="31">
        <v>610756</v>
      </c>
      <c r="R16" s="31">
        <v>621306</v>
      </c>
      <c r="S16" s="31">
        <v>600242</v>
      </c>
      <c r="T16" s="31">
        <v>682022.52</v>
      </c>
      <c r="U16" s="31">
        <v>799741</v>
      </c>
      <c r="V16" s="31">
        <v>697490.83</v>
      </c>
      <c r="W16" s="18"/>
      <c r="X16" s="26">
        <f t="shared" si="4"/>
        <v>101049</v>
      </c>
      <c r="Y16" s="27">
        <f>IF(H16=0,0,X16/H16)</f>
        <v>0.11608622977374163</v>
      </c>
      <c r="Z16" s="18"/>
      <c r="AD16" s="21"/>
    </row>
    <row r="17" spans="2:30" ht="12" customHeight="1" x14ac:dyDescent="0.2">
      <c r="B17" s="33" t="s">
        <v>25</v>
      </c>
      <c r="D17" s="34"/>
      <c r="E17" s="34"/>
      <c r="F17" s="150">
        <f t="shared" si="1"/>
        <v>0</v>
      </c>
      <c r="G17" s="34"/>
      <c r="H17" s="34"/>
      <c r="I17" s="150">
        <f t="shared" si="2"/>
        <v>0</v>
      </c>
      <c r="J17" s="34"/>
      <c r="K17" s="171"/>
      <c r="L17" s="34"/>
      <c r="M17" s="34"/>
      <c r="N17" s="34">
        <f>[2]Assumptions!H169</f>
        <v>0</v>
      </c>
      <c r="O17" s="34"/>
      <c r="P17" s="34"/>
      <c r="Q17" s="34">
        <v>100472.56886935828</v>
      </c>
      <c r="R17" s="34">
        <v>103009</v>
      </c>
      <c r="S17" s="34">
        <v>102041</v>
      </c>
      <c r="T17" s="34">
        <v>114426</v>
      </c>
      <c r="U17" s="34">
        <v>135738</v>
      </c>
      <c r="V17" s="34">
        <v>110948</v>
      </c>
      <c r="W17" s="18"/>
      <c r="X17" s="35">
        <f t="shared" si="4"/>
        <v>0</v>
      </c>
      <c r="Y17" s="36">
        <f>IF(H17=0,0,X17/H17)</f>
        <v>0</v>
      </c>
      <c r="Z17" s="18"/>
      <c r="AD17" s="21"/>
    </row>
    <row r="18" spans="2:30" s="2" customFormat="1" ht="12" customHeight="1" x14ac:dyDescent="0.2">
      <c r="B18" s="22" t="s">
        <v>26</v>
      </c>
      <c r="C18" s="4"/>
      <c r="D18" s="24">
        <f>SUM(D15:D17)</f>
        <v>0</v>
      </c>
      <c r="E18" s="24">
        <f>SUM(E15:E17)</f>
        <v>0</v>
      </c>
      <c r="F18" s="148">
        <f t="shared" si="1"/>
        <v>0</v>
      </c>
      <c r="G18" s="24">
        <f>SUM(G15:G17)</f>
        <v>0</v>
      </c>
      <c r="H18" s="24">
        <f>SUM(H15:H17)</f>
        <v>0</v>
      </c>
      <c r="I18" s="148">
        <f t="shared" si="2"/>
        <v>0</v>
      </c>
      <c r="J18" s="24">
        <f>SUM(J15:J17)</f>
        <v>0</v>
      </c>
      <c r="K18" s="170"/>
      <c r="L18" s="24">
        <v>0</v>
      </c>
      <c r="M18" s="24">
        <v>0</v>
      </c>
      <c r="N18" s="24">
        <f>SUM(N15:N17)</f>
        <v>0</v>
      </c>
      <c r="O18" s="24">
        <f>SUM(O15:O17)</f>
        <v>0</v>
      </c>
      <c r="P18" s="24">
        <f t="shared" ref="P18:V18" si="14">SUM(P15:P17)</f>
        <v>0</v>
      </c>
      <c r="Q18" s="24">
        <f t="shared" si="14"/>
        <v>-1.10876455437392E-3</v>
      </c>
      <c r="R18" s="24">
        <f t="shared" si="14"/>
        <v>0</v>
      </c>
      <c r="S18" s="24">
        <f t="shared" si="14"/>
        <v>0</v>
      </c>
      <c r="T18" s="24">
        <f t="shared" si="14"/>
        <v>-9.9999999976716936E-2</v>
      </c>
      <c r="U18" s="24">
        <f t="shared" si="14"/>
        <v>0.33999999996740371</v>
      </c>
      <c r="V18" s="24">
        <f t="shared" si="14"/>
        <v>-0.20000000006984919</v>
      </c>
      <c r="W18" s="25"/>
      <c r="X18" s="26">
        <f t="shared" si="4"/>
        <v>0</v>
      </c>
      <c r="Y18" s="27">
        <f>IF(H18=0,0,X18/H18)</f>
        <v>0</v>
      </c>
      <c r="Z18" s="25"/>
      <c r="AA18" s="28"/>
      <c r="AB18" s="28"/>
      <c r="AC18" s="28"/>
      <c r="AD18" s="29"/>
    </row>
    <row r="19" spans="2:30" ht="12" customHeight="1" x14ac:dyDescent="0.2">
      <c r="B19" s="30"/>
      <c r="D19" s="31"/>
      <c r="E19" s="31"/>
      <c r="F19" s="148">
        <f t="shared" si="1"/>
        <v>0</v>
      </c>
      <c r="G19" s="31"/>
      <c r="H19" s="31"/>
      <c r="I19" s="148">
        <f t="shared" si="2"/>
        <v>0</v>
      </c>
      <c r="J19" s="31"/>
      <c r="K19" s="168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  <c r="W19" s="18"/>
      <c r="X19" s="26">
        <f t="shared" si="4"/>
        <v>0</v>
      </c>
      <c r="Y19" s="27"/>
      <c r="Z19" s="18"/>
      <c r="AD19" s="21"/>
    </row>
    <row r="20" spans="2:30" ht="12" customHeight="1" x14ac:dyDescent="0.2">
      <c r="B20" s="30" t="s">
        <v>27</v>
      </c>
      <c r="D20" s="37">
        <v>-193608</v>
      </c>
      <c r="E20" s="37">
        <v>-145206</v>
      </c>
      <c r="F20" s="148">
        <f t="shared" si="1"/>
        <v>-48402</v>
      </c>
      <c r="G20" s="37">
        <v>-145206</v>
      </c>
      <c r="H20" s="37">
        <v>-32268</v>
      </c>
      <c r="I20" s="148">
        <f t="shared" si="2"/>
        <v>-112938</v>
      </c>
      <c r="J20" s="37">
        <v>-193608</v>
      </c>
      <c r="K20" s="172">
        <f t="shared" ref="K20:K22" si="15">+G20-J20</f>
        <v>48402</v>
      </c>
      <c r="L20" s="37">
        <v>-193608</v>
      </c>
      <c r="M20" s="37">
        <v>-193608</v>
      </c>
      <c r="N20" s="37">
        <f>[2]Assumptions!H192</f>
        <v>-193608</v>
      </c>
      <c r="O20" s="37">
        <f>'[2]FC 2019'!Q34</f>
        <v>-193608</v>
      </c>
      <c r="P20" s="37">
        <f>'[2]FC 2019'!Q34</f>
        <v>-193608</v>
      </c>
      <c r="Q20" s="37">
        <v>-193608</v>
      </c>
      <c r="R20" s="37">
        <v>-125780</v>
      </c>
      <c r="S20" s="37">
        <v>-77328</v>
      </c>
      <c r="T20" s="37">
        <v>-77328</v>
      </c>
      <c r="U20" s="37">
        <v>-77328</v>
      </c>
      <c r="V20" s="37">
        <v>-77328</v>
      </c>
      <c r="W20" s="18"/>
      <c r="X20" s="26">
        <f t="shared" si="4"/>
        <v>-112938</v>
      </c>
      <c r="Y20" s="27">
        <f>X20/H20</f>
        <v>3.5</v>
      </c>
      <c r="Z20" s="18"/>
      <c r="AD20" s="21"/>
    </row>
    <row r="21" spans="2:30" ht="12" customHeight="1" x14ac:dyDescent="0.2">
      <c r="B21" s="30" t="s">
        <v>28</v>
      </c>
      <c r="D21" s="37">
        <v>-322680</v>
      </c>
      <c r="E21" s="37">
        <v>-242010</v>
      </c>
      <c r="F21" s="148">
        <f t="shared" si="1"/>
        <v>-80670</v>
      </c>
      <c r="G21" s="37">
        <v>-242010</v>
      </c>
      <c r="H21" s="37">
        <v>-53780</v>
      </c>
      <c r="I21" s="148">
        <f t="shared" si="2"/>
        <v>-188230</v>
      </c>
      <c r="J21" s="37">
        <v>-322680</v>
      </c>
      <c r="K21" s="172">
        <f t="shared" si="15"/>
        <v>80670</v>
      </c>
      <c r="L21" s="37">
        <v>-322680</v>
      </c>
      <c r="M21" s="37">
        <v>-322680</v>
      </c>
      <c r="N21" s="37">
        <f>[2]Assumptions!H193</f>
        <v>-322680</v>
      </c>
      <c r="O21" s="37">
        <f>'[2]FC 2019'!Q35</f>
        <v>-322680</v>
      </c>
      <c r="P21" s="37">
        <f>'[2]FC 2019'!Q35</f>
        <v>-322680</v>
      </c>
      <c r="Q21" s="37">
        <v>0</v>
      </c>
      <c r="R21" s="37">
        <v>-187201</v>
      </c>
      <c r="S21" s="37">
        <v>-320916</v>
      </c>
      <c r="T21" s="37">
        <v>-307026</v>
      </c>
      <c r="U21" s="37">
        <v>-302484</v>
      </c>
      <c r="V21" s="37">
        <v>-293388</v>
      </c>
      <c r="W21" s="18"/>
      <c r="X21" s="26">
        <f t="shared" si="4"/>
        <v>-188230</v>
      </c>
      <c r="Y21" s="27">
        <f>IF(H21=0,0,X21/H21)</f>
        <v>3.5</v>
      </c>
      <c r="Z21" s="18"/>
      <c r="AD21" s="21"/>
    </row>
    <row r="22" spans="2:30" ht="12" customHeight="1" x14ac:dyDescent="0.2">
      <c r="B22" s="33" t="s">
        <v>29</v>
      </c>
      <c r="D22" s="38">
        <v>516288</v>
      </c>
      <c r="E22" s="38">
        <v>387216</v>
      </c>
      <c r="F22" s="150">
        <f t="shared" si="1"/>
        <v>129072</v>
      </c>
      <c r="G22" s="38">
        <v>387216</v>
      </c>
      <c r="H22" s="38">
        <v>86048</v>
      </c>
      <c r="I22" s="150">
        <f t="shared" si="2"/>
        <v>301168</v>
      </c>
      <c r="J22" s="38">
        <v>516288</v>
      </c>
      <c r="K22" s="173">
        <f t="shared" si="15"/>
        <v>-129072</v>
      </c>
      <c r="L22" s="38">
        <v>516288</v>
      </c>
      <c r="M22" s="38">
        <v>516288</v>
      </c>
      <c r="N22" s="38">
        <f>-N20-N21</f>
        <v>516288</v>
      </c>
      <c r="O22" s="38">
        <f>'[2]FC 2019'!Q36</f>
        <v>516288</v>
      </c>
      <c r="P22" s="38">
        <f>'[2]FC 2019'!Q36</f>
        <v>516288</v>
      </c>
      <c r="Q22" s="38">
        <v>193608</v>
      </c>
      <c r="R22" s="38">
        <v>312981</v>
      </c>
      <c r="S22" s="38">
        <v>398244</v>
      </c>
      <c r="T22" s="38">
        <v>384354</v>
      </c>
      <c r="U22" s="38">
        <v>379812</v>
      </c>
      <c r="V22" s="38">
        <v>370716</v>
      </c>
      <c r="W22" s="18"/>
      <c r="X22" s="35">
        <f>G22-H22</f>
        <v>301168</v>
      </c>
      <c r="Y22" s="36">
        <f>X22/H22</f>
        <v>3.5</v>
      </c>
      <c r="Z22" s="18"/>
      <c r="AD22" s="21"/>
    </row>
    <row r="23" spans="2:30" s="2" customFormat="1" ht="12" customHeight="1" x14ac:dyDescent="0.2">
      <c r="B23" s="22" t="s">
        <v>30</v>
      </c>
      <c r="C23" s="4"/>
      <c r="D23" s="24">
        <f>SUM(D20:D22)</f>
        <v>0</v>
      </c>
      <c r="E23" s="24">
        <f>SUM(E20:E22)</f>
        <v>0</v>
      </c>
      <c r="F23" s="148">
        <f t="shared" si="1"/>
        <v>0</v>
      </c>
      <c r="G23" s="24">
        <f>SUM(G20:G22)</f>
        <v>0</v>
      </c>
      <c r="H23" s="24">
        <f>SUM(H20:H22)</f>
        <v>0</v>
      </c>
      <c r="I23" s="148">
        <f t="shared" si="2"/>
        <v>0</v>
      </c>
      <c r="J23" s="24">
        <f>SUM(J20:J22)</f>
        <v>0</v>
      </c>
      <c r="K23" s="170"/>
      <c r="L23" s="24">
        <v>0</v>
      </c>
      <c r="M23" s="24">
        <v>0</v>
      </c>
      <c r="N23" s="24">
        <f>SUM(N20:N22)</f>
        <v>0</v>
      </c>
      <c r="O23" s="24">
        <f>SUM(O20:O22)</f>
        <v>0</v>
      </c>
      <c r="P23" s="24">
        <f t="shared" ref="P23:V23" si="16">SUM(P20:P22)</f>
        <v>0</v>
      </c>
      <c r="Q23" s="24">
        <f t="shared" si="16"/>
        <v>0</v>
      </c>
      <c r="R23" s="24">
        <f t="shared" si="16"/>
        <v>0</v>
      </c>
      <c r="S23" s="24">
        <f t="shared" si="16"/>
        <v>0</v>
      </c>
      <c r="T23" s="24">
        <f t="shared" si="16"/>
        <v>0</v>
      </c>
      <c r="U23" s="24">
        <f t="shared" si="16"/>
        <v>0</v>
      </c>
      <c r="V23" s="24">
        <f t="shared" si="16"/>
        <v>0</v>
      </c>
      <c r="W23" s="25"/>
      <c r="X23" s="26">
        <f t="shared" si="4"/>
        <v>0</v>
      </c>
      <c r="Y23" s="27">
        <f>IF(H23=0,0,X23/H23)</f>
        <v>0</v>
      </c>
      <c r="Z23" s="25"/>
      <c r="AA23" s="28"/>
      <c r="AB23" s="28"/>
      <c r="AC23" s="28"/>
      <c r="AD23" s="29"/>
    </row>
    <row r="24" spans="2:30" ht="12" customHeight="1" x14ac:dyDescent="0.2">
      <c r="B24" s="30"/>
      <c r="D24" s="39"/>
      <c r="E24" s="39"/>
      <c r="F24" s="151">
        <f t="shared" si="1"/>
        <v>0</v>
      </c>
      <c r="G24" s="39"/>
      <c r="H24" s="39"/>
      <c r="I24" s="151">
        <f t="shared" si="2"/>
        <v>0</v>
      </c>
      <c r="J24" s="39"/>
      <c r="K24" s="174"/>
      <c r="L24" s="39"/>
      <c r="M24" s="39"/>
      <c r="N24" s="40"/>
      <c r="O24" s="40"/>
      <c r="P24" s="40"/>
      <c r="Q24" s="41"/>
      <c r="R24" s="40"/>
      <c r="S24" s="40"/>
      <c r="T24" s="40"/>
      <c r="U24" s="40"/>
      <c r="V24" s="32"/>
      <c r="W24" s="18"/>
      <c r="X24" s="39"/>
      <c r="Y24" s="42"/>
      <c r="Z24" s="18"/>
      <c r="AD24" s="21"/>
    </row>
    <row r="25" spans="2:30" ht="12" customHeight="1" x14ac:dyDescent="0.2">
      <c r="B25" s="43" t="s">
        <v>31</v>
      </c>
      <c r="C25" s="4"/>
      <c r="D25" s="44">
        <f>D6-D13-D18-D23</f>
        <v>-36903.930000000168</v>
      </c>
      <c r="E25" s="44">
        <f>E6-E13-E18-E23</f>
        <v>28986.581333555747</v>
      </c>
      <c r="F25" s="153">
        <f t="shared" si="1"/>
        <v>-65890.511333555914</v>
      </c>
      <c r="G25" s="44">
        <f>G6-G13-G18-G23</f>
        <v>-60194.456100000069</v>
      </c>
      <c r="H25" s="44">
        <f>H6-H13-H18-H23</f>
        <v>514275</v>
      </c>
      <c r="I25" s="153">
        <f t="shared" si="2"/>
        <v>-574469.45610000007</v>
      </c>
      <c r="J25" s="44">
        <f>J6-J13-J18-J23</f>
        <v>100948</v>
      </c>
      <c r="K25" s="175">
        <f t="shared" ref="K25" si="17">+G25-J25</f>
        <v>-161142.45610000007</v>
      </c>
      <c r="L25" s="44">
        <v>0.30555599927902222</v>
      </c>
      <c r="M25" s="44">
        <v>167519.29667704133</v>
      </c>
      <c r="N25" s="44">
        <f>N6-N13-N18-N23</f>
        <v>76482.449999999721</v>
      </c>
      <c r="O25" s="44">
        <f>O6-O13-O18-O23</f>
        <v>62513</v>
      </c>
      <c r="P25" s="44">
        <f t="shared" ref="P25:V25" si="18">P6-P13-P18-P23</f>
        <v>-25673</v>
      </c>
      <c r="Q25" s="44">
        <f t="shared" si="18"/>
        <v>238.00110876455437</v>
      </c>
      <c r="R25" s="44">
        <f t="shared" si="18"/>
        <v>6006</v>
      </c>
      <c r="S25" s="44">
        <f t="shared" si="18"/>
        <v>-101304.87999999989</v>
      </c>
      <c r="T25" s="44">
        <f t="shared" si="18"/>
        <v>3047.190000000759</v>
      </c>
      <c r="U25" s="44">
        <f t="shared" si="18"/>
        <v>-12716.940000000061</v>
      </c>
      <c r="V25" s="44">
        <f t="shared" si="18"/>
        <v>2032.9599999993807</v>
      </c>
      <c r="W25" s="25"/>
      <c r="X25" s="45">
        <f t="shared" si="4"/>
        <v>-574469.45610000007</v>
      </c>
      <c r="Y25" s="46">
        <f>X25/H25</f>
        <v>-1.1170472142336301</v>
      </c>
      <c r="Z25" s="25"/>
      <c r="AD25" s="29"/>
    </row>
    <row r="26" spans="2:30" x14ac:dyDescent="0.2">
      <c r="B26" s="2"/>
      <c r="C26" s="4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25"/>
      <c r="X26" s="47"/>
      <c r="Y26" s="47"/>
      <c r="Z26" s="25"/>
      <c r="AD26" s="29"/>
    </row>
    <row r="27" spans="2:30" x14ac:dyDescent="0.2">
      <c r="B27" s="48"/>
      <c r="C27" s="49"/>
      <c r="O27" s="50" t="s">
        <v>32</v>
      </c>
      <c r="P27" s="51"/>
      <c r="Q27" s="52"/>
      <c r="R27" s="53">
        <f>-92404+6006</f>
        <v>-86398</v>
      </c>
      <c r="S27" s="54" t="s">
        <v>33</v>
      </c>
      <c r="T27" s="55">
        <f>T25-87890</f>
        <v>-84842.809999999241</v>
      </c>
      <c r="U27" s="56" t="s">
        <v>34</v>
      </c>
      <c r="V27" s="57"/>
      <c r="W27" s="58"/>
      <c r="X27" s="57"/>
      <c r="Z27" s="58"/>
      <c r="AD27" s="59"/>
    </row>
    <row r="28" spans="2:30" x14ac:dyDescent="0.2">
      <c r="B28" s="60" t="s">
        <v>35</v>
      </c>
      <c r="C28" s="61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3" t="s">
        <v>36</v>
      </c>
      <c r="T28" s="62"/>
      <c r="U28" s="62"/>
      <c r="V28" s="62"/>
      <c r="W28" s="62"/>
      <c r="X28" s="62"/>
      <c r="Y28" s="62"/>
      <c r="Z28" s="62"/>
      <c r="AD28" s="59"/>
    </row>
    <row r="29" spans="2:30" ht="5.0999999999999996" customHeight="1" x14ac:dyDescent="0.2">
      <c r="B29" s="48"/>
      <c r="C29" s="4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8"/>
      <c r="X29" s="59"/>
      <c r="Y29" s="59"/>
      <c r="Z29" s="58"/>
      <c r="AA29" s="1"/>
      <c r="AB29" s="1"/>
      <c r="AC29" s="1"/>
      <c r="AD29" s="59"/>
    </row>
    <row r="30" spans="2:30" x14ac:dyDescent="0.2">
      <c r="B30" s="64" t="s">
        <v>37</v>
      </c>
      <c r="C30" s="4"/>
      <c r="D30" s="12" t="str">
        <f>D3</f>
        <v>BUDGET 2022</v>
      </c>
      <c r="E30" s="12" t="str">
        <f>E3</f>
        <v>ACT 2021</v>
      </c>
      <c r="F30" s="147" t="s">
        <v>111</v>
      </c>
      <c r="G30" s="12" t="str">
        <f>G3</f>
        <v>BUDGET 2021</v>
      </c>
      <c r="H30" s="12" t="str">
        <f>H3</f>
        <v>ACTUAL 2020</v>
      </c>
      <c r="I30" s="147" t="s">
        <v>111</v>
      </c>
      <c r="J30" s="65" t="str">
        <f>J3</f>
        <v>ACTUAL 2019</v>
      </c>
      <c r="K30" s="176" t="str">
        <f>+K3</f>
        <v>B 2021 vs A2019</v>
      </c>
      <c r="L30" s="65" t="s">
        <v>3</v>
      </c>
      <c r="M30" s="14" t="s">
        <v>4</v>
      </c>
      <c r="N30" s="14" t="str">
        <f>N3</f>
        <v>ACTUAL 2016</v>
      </c>
      <c r="O30" s="14" t="str">
        <f>O3</f>
        <v>ACTUAL 2015</v>
      </c>
      <c r="P30" s="14" t="str">
        <f t="shared" ref="P30:V30" si="19">P3</f>
        <v>ACTUAL 2014</v>
      </c>
      <c r="Q30" s="14" t="str">
        <f t="shared" si="19"/>
        <v>ACTUAL 2013</v>
      </c>
      <c r="R30" s="14" t="str">
        <f t="shared" si="19"/>
        <v>ACTUAL 2012</v>
      </c>
      <c r="S30" s="14" t="str">
        <f t="shared" si="19"/>
        <v>ACTUAL 2011</v>
      </c>
      <c r="T30" s="14" t="str">
        <f t="shared" si="19"/>
        <v>ACTUAL 2010</v>
      </c>
      <c r="U30" s="14" t="str">
        <f t="shared" si="19"/>
        <v>ACTUAL 2009</v>
      </c>
      <c r="V30" s="14" t="str">
        <f t="shared" si="19"/>
        <v>ACTUAL 2008</v>
      </c>
      <c r="W30" s="10"/>
      <c r="X30" s="682" t="str">
        <f>X3</f>
        <v>Var Bud-21 Actual-20</v>
      </c>
      <c r="Y30" s="683"/>
      <c r="Z30" s="66"/>
      <c r="AD30" s="59"/>
    </row>
    <row r="31" spans="2:30" ht="12.2" customHeight="1" x14ac:dyDescent="0.2">
      <c r="B31" s="30" t="s">
        <v>38</v>
      </c>
      <c r="D31" s="67">
        <v>2471484</v>
      </c>
      <c r="E31" s="67">
        <v>2286117</v>
      </c>
      <c r="F31" s="148">
        <f t="shared" ref="F31:F41" si="20">D31-E31</f>
        <v>185367</v>
      </c>
      <c r="G31" s="67">
        <v>2285996.9399999995</v>
      </c>
      <c r="H31" s="67">
        <v>2286117</v>
      </c>
      <c r="I31" s="148">
        <f t="shared" ref="I31:I41" si="21">G31-H31</f>
        <v>-120.06000000052154</v>
      </c>
      <c r="J31" s="67">
        <v>2447052</v>
      </c>
      <c r="K31" s="177">
        <f t="shared" ref="K31:K41" si="22">+G31-J31</f>
        <v>-161055.06000000052</v>
      </c>
      <c r="L31" s="67">
        <v>2304900</v>
      </c>
      <c r="M31" s="67">
        <v>2366257</v>
      </c>
      <c r="N31" s="67">
        <v>2312124</v>
      </c>
      <c r="O31" s="67">
        <v>2281560</v>
      </c>
      <c r="P31" s="67">
        <v>2175936</v>
      </c>
      <c r="Q31" s="68">
        <v>2037504</v>
      </c>
      <c r="R31" s="68">
        <v>2037504</v>
      </c>
      <c r="S31" s="26">
        <v>2037504</v>
      </c>
      <c r="T31" s="31">
        <v>2037504</v>
      </c>
      <c r="U31" s="32">
        <v>1985880</v>
      </c>
      <c r="V31" s="32">
        <v>1916808</v>
      </c>
      <c r="W31" s="18"/>
      <c r="X31" s="26">
        <f t="shared" ref="X31:X41" si="23">G31-H31</f>
        <v>-120.06000000052154</v>
      </c>
      <c r="Y31" s="27">
        <f>X31/H31</f>
        <v>-5.251699716179073E-5</v>
      </c>
      <c r="Z31" s="18"/>
      <c r="AD31" s="21"/>
    </row>
    <row r="32" spans="2:30" ht="12.2" customHeight="1" x14ac:dyDescent="0.2">
      <c r="B32" s="30" t="s">
        <v>39</v>
      </c>
      <c r="D32" s="31">
        <v>70140</v>
      </c>
      <c r="E32" s="31">
        <v>70140</v>
      </c>
      <c r="F32" s="148">
        <f t="shared" si="20"/>
        <v>0</v>
      </c>
      <c r="G32" s="31">
        <v>70140</v>
      </c>
      <c r="H32" s="31">
        <v>70140</v>
      </c>
      <c r="I32" s="148">
        <f t="shared" si="21"/>
        <v>0</v>
      </c>
      <c r="J32" s="31">
        <v>69708</v>
      </c>
      <c r="K32" s="168">
        <f t="shared" si="22"/>
        <v>432</v>
      </c>
      <c r="L32" s="31">
        <v>62368</v>
      </c>
      <c r="M32" s="31">
        <v>66708</v>
      </c>
      <c r="N32" s="31">
        <v>65868</v>
      </c>
      <c r="O32" s="26">
        <v>64968</v>
      </c>
      <c r="P32" s="69">
        <v>62345</v>
      </c>
      <c r="Q32" s="31">
        <v>57428</v>
      </c>
      <c r="R32" s="31">
        <v>57420</v>
      </c>
      <c r="S32" s="31">
        <v>57420</v>
      </c>
      <c r="T32" s="31">
        <v>57420</v>
      </c>
      <c r="U32" s="31">
        <v>56592</v>
      </c>
      <c r="V32" s="31">
        <v>56592</v>
      </c>
      <c r="W32" s="18"/>
      <c r="X32" s="26">
        <f t="shared" si="23"/>
        <v>0</v>
      </c>
      <c r="Y32" s="27">
        <f>X32/H32</f>
        <v>0</v>
      </c>
      <c r="Z32" s="18"/>
      <c r="AD32" s="21"/>
    </row>
    <row r="33" spans="2:30" ht="12.2" customHeight="1" x14ac:dyDescent="0.2">
      <c r="B33" s="30" t="s">
        <v>40</v>
      </c>
      <c r="D33" s="31">
        <v>0</v>
      </c>
      <c r="E33" s="31">
        <v>0</v>
      </c>
      <c r="F33" s="148">
        <f t="shared" si="20"/>
        <v>0</v>
      </c>
      <c r="G33" s="31">
        <v>0</v>
      </c>
      <c r="H33" s="31">
        <v>0</v>
      </c>
      <c r="I33" s="148">
        <f t="shared" si="21"/>
        <v>0</v>
      </c>
      <c r="J33" s="31">
        <v>0</v>
      </c>
      <c r="K33" s="168">
        <f t="shared" si="22"/>
        <v>0</v>
      </c>
      <c r="L33" s="31"/>
      <c r="M33" s="31">
        <v>0</v>
      </c>
      <c r="N33" s="31">
        <v>0</v>
      </c>
      <c r="O33" s="26">
        <f>'[2]FC 2019'!Q51</f>
        <v>0</v>
      </c>
      <c r="P33" s="69">
        <f>'[2]FC 2019'!Q51</f>
        <v>0</v>
      </c>
      <c r="Q33" s="31">
        <v>0</v>
      </c>
      <c r="R33" s="31">
        <v>15000</v>
      </c>
      <c r="S33" s="31">
        <v>15000</v>
      </c>
      <c r="T33" s="31">
        <v>15000</v>
      </c>
      <c r="U33" s="31">
        <v>15000</v>
      </c>
      <c r="V33" s="31">
        <v>15000</v>
      </c>
      <c r="W33" s="18"/>
      <c r="X33" s="26">
        <f t="shared" si="23"/>
        <v>0</v>
      </c>
      <c r="Y33" s="27">
        <f>IF(X33=0,0,X33/H33)</f>
        <v>0</v>
      </c>
      <c r="Z33" s="18"/>
      <c r="AD33" s="21"/>
    </row>
    <row r="34" spans="2:30" ht="12.2" customHeight="1" x14ac:dyDescent="0.2">
      <c r="B34" s="30" t="s">
        <v>41</v>
      </c>
      <c r="D34" s="31">
        <v>438000</v>
      </c>
      <c r="E34" s="31">
        <v>285641.89</v>
      </c>
      <c r="F34" s="148">
        <f t="shared" si="20"/>
        <v>152358.10999999999</v>
      </c>
      <c r="G34" s="31">
        <v>420083.36999999988</v>
      </c>
      <c r="H34" s="31">
        <v>201459</v>
      </c>
      <c r="I34" s="148">
        <f t="shared" si="21"/>
        <v>218624.36999999988</v>
      </c>
      <c r="J34" s="31">
        <v>426574</v>
      </c>
      <c r="K34" s="168">
        <f t="shared" si="22"/>
        <v>-6490.6300000001211</v>
      </c>
      <c r="L34" s="31">
        <v>329012.65000000002</v>
      </c>
      <c r="M34" s="31">
        <v>482388.1</v>
      </c>
      <c r="N34" s="31">
        <v>383504.26</v>
      </c>
      <c r="O34" s="26">
        <v>347657</v>
      </c>
      <c r="P34" s="69">
        <v>283756</v>
      </c>
      <c r="Q34" s="31">
        <v>258718</v>
      </c>
      <c r="R34" s="31">
        <v>356372</v>
      </c>
      <c r="S34" s="31">
        <v>287715.03999999998</v>
      </c>
      <c r="T34" s="31">
        <v>296466.49</v>
      </c>
      <c r="U34" s="31">
        <v>269722.71000000002</v>
      </c>
      <c r="V34" s="31">
        <v>378292.97</v>
      </c>
      <c r="W34" s="18"/>
      <c r="X34" s="26">
        <f t="shared" si="23"/>
        <v>218624.36999999988</v>
      </c>
      <c r="Y34" s="27">
        <f t="shared" ref="Y34:Y41" si="24">X34/H34</f>
        <v>1.0852052775006322</v>
      </c>
      <c r="Z34" s="18"/>
      <c r="AD34" s="21"/>
    </row>
    <row r="35" spans="2:30" ht="12.2" customHeight="1" x14ac:dyDescent="0.2">
      <c r="B35" s="30" t="s">
        <v>42</v>
      </c>
      <c r="D35" s="31">
        <v>21840</v>
      </c>
      <c r="E35" s="31">
        <v>18627.13</v>
      </c>
      <c r="F35" s="148">
        <f t="shared" si="20"/>
        <v>3212.869999999999</v>
      </c>
      <c r="G35" s="31">
        <v>12850</v>
      </c>
      <c r="H35" s="31">
        <v>9412</v>
      </c>
      <c r="I35" s="148">
        <f t="shared" si="21"/>
        <v>3438</v>
      </c>
      <c r="J35" s="31">
        <v>18165</v>
      </c>
      <c r="K35" s="168">
        <f t="shared" si="22"/>
        <v>-5315</v>
      </c>
      <c r="L35" s="31">
        <v>19638.46</v>
      </c>
      <c r="M35" s="31">
        <v>21542.716677041928</v>
      </c>
      <c r="N35" s="31">
        <v>27940.039999999997</v>
      </c>
      <c r="O35" s="26">
        <v>25138.5</v>
      </c>
      <c r="P35" s="69">
        <v>23691</v>
      </c>
      <c r="Q35" s="31">
        <v>20345</v>
      </c>
      <c r="R35" s="31">
        <v>18684</v>
      </c>
      <c r="S35" s="31">
        <v>21509.5</v>
      </c>
      <c r="T35" s="31">
        <v>28901.43</v>
      </c>
      <c r="U35" s="31">
        <v>26861.200000000001</v>
      </c>
      <c r="V35" s="31">
        <v>24775.03</v>
      </c>
      <c r="W35" s="18"/>
      <c r="X35" s="26">
        <f t="shared" si="23"/>
        <v>3438</v>
      </c>
      <c r="Y35" s="27">
        <f t="shared" si="24"/>
        <v>0.365278368040799</v>
      </c>
      <c r="Z35" s="18"/>
      <c r="AD35" s="21"/>
    </row>
    <row r="36" spans="2:30" ht="12.2" customHeight="1" x14ac:dyDescent="0.2">
      <c r="B36" s="30" t="s">
        <v>43</v>
      </c>
      <c r="D36" s="31">
        <v>55488</v>
      </c>
      <c r="E36" s="31">
        <v>51901.59</v>
      </c>
      <c r="F36" s="148">
        <f t="shared" si="20"/>
        <v>3586.4100000000035</v>
      </c>
      <c r="G36" s="31">
        <v>36460</v>
      </c>
      <c r="H36" s="31">
        <v>26764</v>
      </c>
      <c r="I36" s="148">
        <f t="shared" si="21"/>
        <v>9696</v>
      </c>
      <c r="J36" s="31">
        <v>55457</v>
      </c>
      <c r="K36" s="168">
        <f t="shared" si="22"/>
        <v>-18997</v>
      </c>
      <c r="L36" s="31">
        <v>50531.16</v>
      </c>
      <c r="M36" s="31">
        <v>60540.009999999995</v>
      </c>
      <c r="N36" s="31">
        <v>75814.81</v>
      </c>
      <c r="O36" s="26">
        <v>89579.5</v>
      </c>
      <c r="P36" s="69">
        <v>102247</v>
      </c>
      <c r="Q36" s="31">
        <v>101818</v>
      </c>
      <c r="R36" s="31">
        <v>92382</v>
      </c>
      <c r="S36" s="31">
        <v>85480.36</v>
      </c>
      <c r="T36" s="31">
        <v>70115.47</v>
      </c>
      <c r="U36" s="31">
        <v>61310.17</v>
      </c>
      <c r="V36" s="31">
        <v>90288.3</v>
      </c>
      <c r="W36" s="18"/>
      <c r="X36" s="26">
        <f t="shared" si="23"/>
        <v>9696</v>
      </c>
      <c r="Y36" s="27">
        <f t="shared" si="24"/>
        <v>0.36227768644447766</v>
      </c>
      <c r="Z36" s="18"/>
      <c r="AD36" s="21"/>
    </row>
    <row r="37" spans="2:30" ht="12.2" customHeight="1" x14ac:dyDescent="0.2">
      <c r="B37" s="30" t="s">
        <v>44</v>
      </c>
      <c r="D37" s="31">
        <v>14400</v>
      </c>
      <c r="E37" s="31">
        <v>16546</v>
      </c>
      <c r="F37" s="148">
        <f t="shared" si="20"/>
        <v>-2146</v>
      </c>
      <c r="G37" s="31">
        <v>0</v>
      </c>
      <c r="H37" s="31">
        <v>-7226</v>
      </c>
      <c r="I37" s="148">
        <f t="shared" si="21"/>
        <v>7226</v>
      </c>
      <c r="J37" s="31">
        <v>5782</v>
      </c>
      <c r="K37" s="168">
        <f t="shared" si="22"/>
        <v>-5782</v>
      </c>
      <c r="L37" s="31">
        <v>52731.76</v>
      </c>
      <c r="M37" s="31">
        <v>29630.99</v>
      </c>
      <c r="N37" s="31">
        <v>22373.86</v>
      </c>
      <c r="O37" s="26">
        <v>17712</v>
      </c>
      <c r="P37" s="69">
        <v>18232</v>
      </c>
      <c r="Q37" s="31">
        <v>17887</v>
      </c>
      <c r="R37" s="31">
        <v>19793</v>
      </c>
      <c r="S37" s="31">
        <v>25902.58</v>
      </c>
      <c r="T37" s="31">
        <v>19953.41</v>
      </c>
      <c r="U37" s="31">
        <v>20130</v>
      </c>
      <c r="V37" s="31">
        <v>20405</v>
      </c>
      <c r="W37" s="18"/>
      <c r="X37" s="26">
        <f t="shared" si="23"/>
        <v>7226</v>
      </c>
      <c r="Y37" s="27">
        <f t="shared" si="24"/>
        <v>-1</v>
      </c>
      <c r="Z37" s="18"/>
      <c r="AD37" s="21"/>
    </row>
    <row r="38" spans="2:30" ht="12.2" customHeight="1" x14ac:dyDescent="0.2">
      <c r="B38" s="30" t="s">
        <v>45</v>
      </c>
      <c r="D38" s="31">
        <v>2016</v>
      </c>
      <c r="E38" s="31">
        <v>1820.0400000000002</v>
      </c>
      <c r="F38" s="148">
        <f t="shared" si="20"/>
        <v>195.95999999999981</v>
      </c>
      <c r="G38" s="31">
        <v>1820</v>
      </c>
      <c r="H38" s="31">
        <v>1193</v>
      </c>
      <c r="I38" s="148">
        <f t="shared" si="21"/>
        <v>627</v>
      </c>
      <c r="J38" s="31">
        <v>486</v>
      </c>
      <c r="K38" s="168">
        <f t="shared" si="22"/>
        <v>1334</v>
      </c>
      <c r="L38" s="31">
        <v>1791.06</v>
      </c>
      <c r="M38" s="31">
        <v>2340</v>
      </c>
      <c r="N38" s="31">
        <v>2340</v>
      </c>
      <c r="O38" s="26">
        <v>2124</v>
      </c>
      <c r="P38" s="69">
        <v>2232</v>
      </c>
      <c r="Q38" s="31">
        <v>2259</v>
      </c>
      <c r="R38" s="31">
        <v>1692</v>
      </c>
      <c r="S38" s="31">
        <v>2340</v>
      </c>
      <c r="T38" s="31">
        <v>2340</v>
      </c>
      <c r="U38" s="31">
        <v>1603.4</v>
      </c>
      <c r="V38" s="31">
        <v>19695</v>
      </c>
      <c r="W38" s="18"/>
      <c r="X38" s="26">
        <f t="shared" si="23"/>
        <v>627</v>
      </c>
      <c r="Y38" s="27">
        <f t="shared" si="24"/>
        <v>0.52556580050293378</v>
      </c>
      <c r="Z38" s="18"/>
      <c r="AD38" s="21"/>
    </row>
    <row r="39" spans="2:30" ht="12.2" customHeight="1" x14ac:dyDescent="0.2">
      <c r="B39" s="30" t="s">
        <v>46</v>
      </c>
      <c r="D39" s="31">
        <v>0</v>
      </c>
      <c r="E39" s="31">
        <v>0</v>
      </c>
      <c r="F39" s="148">
        <f t="shared" si="20"/>
        <v>0</v>
      </c>
      <c r="G39" s="31">
        <v>0</v>
      </c>
      <c r="H39" s="31">
        <v>0</v>
      </c>
      <c r="I39" s="148">
        <f t="shared" si="21"/>
        <v>0</v>
      </c>
      <c r="J39" s="31">
        <v>0</v>
      </c>
      <c r="K39" s="168">
        <f t="shared" si="22"/>
        <v>0</v>
      </c>
      <c r="L39" s="31">
        <v>0</v>
      </c>
      <c r="M39" s="31">
        <v>0</v>
      </c>
      <c r="N39" s="31">
        <v>0</v>
      </c>
      <c r="O39" s="26">
        <f>'[2]FC 2019'!Q57</f>
        <v>0</v>
      </c>
      <c r="P39" s="69">
        <v>1650</v>
      </c>
      <c r="Q39" s="31">
        <v>1750</v>
      </c>
      <c r="R39" s="31">
        <v>0</v>
      </c>
      <c r="S39" s="31">
        <v>0</v>
      </c>
      <c r="T39" s="31">
        <v>64485</v>
      </c>
      <c r="U39" s="31">
        <v>0</v>
      </c>
      <c r="V39" s="31">
        <v>0</v>
      </c>
      <c r="W39" s="18"/>
      <c r="X39" s="26">
        <f t="shared" si="23"/>
        <v>0</v>
      </c>
      <c r="Y39" s="27" t="e">
        <f>X39/H39</f>
        <v>#DIV/0!</v>
      </c>
      <c r="Z39" s="18"/>
      <c r="AD39" s="21"/>
    </row>
    <row r="40" spans="2:30" ht="12.2" customHeight="1" x14ac:dyDescent="0.2">
      <c r="B40" s="33" t="s">
        <v>47</v>
      </c>
      <c r="D40" s="34">
        <v>250</v>
      </c>
      <c r="E40" s="34">
        <v>121.71000000000001</v>
      </c>
      <c r="F40" s="150">
        <f t="shared" si="20"/>
        <v>128.29</v>
      </c>
      <c r="G40" s="34">
        <v>125</v>
      </c>
      <c r="H40" s="34">
        <v>191</v>
      </c>
      <c r="I40" s="150">
        <f t="shared" si="21"/>
        <v>-66</v>
      </c>
      <c r="J40" s="34">
        <v>2302</v>
      </c>
      <c r="K40" s="171">
        <f t="shared" si="22"/>
        <v>-2177</v>
      </c>
      <c r="L40" s="34">
        <v>1447</v>
      </c>
      <c r="M40" s="34">
        <v>2529.8799999999992</v>
      </c>
      <c r="N40" s="34">
        <v>1671.4</v>
      </c>
      <c r="O40" s="35">
        <v>1892</v>
      </c>
      <c r="P40" s="70">
        <v>6332</v>
      </c>
      <c r="Q40" s="34">
        <v>8448</v>
      </c>
      <c r="R40" s="34">
        <v>8378</v>
      </c>
      <c r="S40" s="34">
        <v>7213.38</v>
      </c>
      <c r="T40" s="34">
        <v>27774.27</v>
      </c>
      <c r="U40" s="34">
        <v>3341.98</v>
      </c>
      <c r="V40" s="34">
        <v>5238.55</v>
      </c>
      <c r="W40" s="18"/>
      <c r="X40" s="26">
        <f t="shared" si="23"/>
        <v>-66</v>
      </c>
      <c r="Y40" s="27">
        <f t="shared" si="24"/>
        <v>-0.34554973821989526</v>
      </c>
      <c r="Z40" s="18"/>
      <c r="AD40" s="21"/>
    </row>
    <row r="41" spans="2:30" ht="12" customHeight="1" x14ac:dyDescent="0.2">
      <c r="B41" s="71" t="s">
        <v>16</v>
      </c>
      <c r="C41" s="72">
        <f>SUM(C31:C40)</f>
        <v>0</v>
      </c>
      <c r="D41" s="72">
        <f>SUM(D31:D40)</f>
        <v>3073618</v>
      </c>
      <c r="E41" s="72">
        <f>SUM(E31:E40)</f>
        <v>2730915.36</v>
      </c>
      <c r="F41" s="157">
        <f t="shared" si="20"/>
        <v>342702.64000000013</v>
      </c>
      <c r="G41" s="72">
        <f>SUM(G31:G40)</f>
        <v>2827475.3099999996</v>
      </c>
      <c r="H41" s="72">
        <f>SUM(H31:H40)</f>
        <v>2588050</v>
      </c>
      <c r="I41" s="157">
        <f t="shared" si="21"/>
        <v>239425.30999999959</v>
      </c>
      <c r="J41" s="72">
        <f>SUM(J31:J40)</f>
        <v>3025526</v>
      </c>
      <c r="K41" s="178">
        <f t="shared" si="22"/>
        <v>-198050.69000000041</v>
      </c>
      <c r="L41" s="72">
        <v>2822420.09</v>
      </c>
      <c r="M41" s="72">
        <v>3031936.6966770417</v>
      </c>
      <c r="N41" s="72">
        <f>SUM(N31:N40)</f>
        <v>2891636.3699999996</v>
      </c>
      <c r="O41" s="72">
        <f>SUM(O31:O40)</f>
        <v>2830631</v>
      </c>
      <c r="P41" s="72">
        <f t="shared" ref="P41:V41" si="25">SUM(P31:P40)</f>
        <v>2676421</v>
      </c>
      <c r="Q41" s="55">
        <f t="shared" si="25"/>
        <v>2506157</v>
      </c>
      <c r="R41" s="55">
        <f t="shared" si="25"/>
        <v>2607225</v>
      </c>
      <c r="S41" s="55">
        <f t="shared" si="25"/>
        <v>2540084.86</v>
      </c>
      <c r="T41" s="55">
        <f t="shared" si="25"/>
        <v>2619960.0700000008</v>
      </c>
      <c r="U41" s="73">
        <f t="shared" si="25"/>
        <v>2440441.46</v>
      </c>
      <c r="V41" s="73">
        <f t="shared" si="25"/>
        <v>2527094.8499999992</v>
      </c>
      <c r="W41" s="25"/>
      <c r="X41" s="72">
        <f t="shared" si="23"/>
        <v>239425.30999999959</v>
      </c>
      <c r="Y41" s="74">
        <f t="shared" si="24"/>
        <v>9.2511856416993332E-2</v>
      </c>
      <c r="Z41" s="75"/>
      <c r="AD41" s="29"/>
    </row>
    <row r="42" spans="2:30" ht="12" customHeight="1" x14ac:dyDescent="0.2">
      <c r="B42" s="48"/>
      <c r="C42" s="49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7"/>
      <c r="X42" s="76"/>
      <c r="Y42" s="76"/>
      <c r="Z42" s="77"/>
      <c r="AD42" s="59"/>
    </row>
    <row r="43" spans="2:30" ht="12" customHeight="1" x14ac:dyDescent="0.2">
      <c r="B43" s="64" t="s">
        <v>48</v>
      </c>
      <c r="C43" s="4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10"/>
      <c r="X43" s="78"/>
      <c r="Y43" s="9"/>
      <c r="Z43" s="10"/>
      <c r="AD43" s="59"/>
    </row>
    <row r="44" spans="2:30" ht="12.2" customHeight="1" x14ac:dyDescent="0.2">
      <c r="B44" s="79" t="s">
        <v>49</v>
      </c>
      <c r="D44" s="80">
        <v>216000</v>
      </c>
      <c r="E44" s="80">
        <v>204053</v>
      </c>
      <c r="F44" s="148">
        <f t="shared" ref="F44:F51" si="26">D44-E44</f>
        <v>11947</v>
      </c>
      <c r="G44" s="80">
        <v>229200</v>
      </c>
      <c r="H44" s="80">
        <v>169941</v>
      </c>
      <c r="I44" s="148">
        <f t="shared" ref="I44:I51" si="27">G44-H44</f>
        <v>59259</v>
      </c>
      <c r="J44" s="80">
        <v>167516</v>
      </c>
      <c r="K44" s="168">
        <f t="shared" ref="K44:K49" si="28">+G44-J44</f>
        <v>61684</v>
      </c>
      <c r="L44" s="80">
        <v>146114.18999999997</v>
      </c>
      <c r="M44" s="80">
        <v>151579.48000000001</v>
      </c>
      <c r="N44" s="80">
        <v>157389.59</v>
      </c>
      <c r="O44" s="80">
        <v>160998</v>
      </c>
      <c r="P44" s="68">
        <v>136595</v>
      </c>
      <c r="Q44" s="80">
        <v>152334</v>
      </c>
      <c r="R44" s="81">
        <v>137773</v>
      </c>
      <c r="S44" s="82">
        <v>145848</v>
      </c>
      <c r="T44" s="81">
        <v>178966.3</v>
      </c>
      <c r="U44" s="83">
        <v>156327.51</v>
      </c>
      <c r="V44" s="83">
        <v>170404.27</v>
      </c>
      <c r="W44" s="18"/>
      <c r="X44" s="26">
        <f t="shared" ref="X44:X51" si="29">G44-H44</f>
        <v>59259</v>
      </c>
      <c r="Y44" s="84">
        <f>X44/H44</f>
        <v>0.34870337352375236</v>
      </c>
      <c r="Z44" s="18"/>
      <c r="AD44" s="21"/>
    </row>
    <row r="45" spans="2:30" ht="12.2" customHeight="1" x14ac:dyDescent="0.2">
      <c r="B45" s="30" t="s">
        <v>50</v>
      </c>
      <c r="D45" s="85">
        <v>24000</v>
      </c>
      <c r="E45" s="85">
        <v>18740</v>
      </c>
      <c r="F45" s="148">
        <f t="shared" si="26"/>
        <v>5260</v>
      </c>
      <c r="G45" s="85">
        <v>24000</v>
      </c>
      <c r="H45" s="85">
        <v>19384</v>
      </c>
      <c r="I45" s="148">
        <f t="shared" si="27"/>
        <v>4616</v>
      </c>
      <c r="J45" s="85">
        <v>21411</v>
      </c>
      <c r="K45" s="168">
        <f t="shared" si="28"/>
        <v>2589</v>
      </c>
      <c r="L45" s="85">
        <v>12241.22</v>
      </c>
      <c r="M45" s="85">
        <v>9454.69</v>
      </c>
      <c r="N45" s="85">
        <v>13756.880000000001</v>
      </c>
      <c r="O45" s="85">
        <v>17494</v>
      </c>
      <c r="P45" s="86">
        <v>13848</v>
      </c>
      <c r="Q45" s="85">
        <v>14574</v>
      </c>
      <c r="R45" s="31">
        <v>13741</v>
      </c>
      <c r="S45" s="26">
        <v>14859</v>
      </c>
      <c r="T45" s="31">
        <v>0</v>
      </c>
      <c r="U45" s="32">
        <v>0</v>
      </c>
      <c r="V45" s="32">
        <v>0</v>
      </c>
      <c r="W45" s="18"/>
      <c r="X45" s="26">
        <f t="shared" si="29"/>
        <v>4616</v>
      </c>
      <c r="Y45" s="27">
        <f>X45/H45</f>
        <v>0.23813454395377631</v>
      </c>
      <c r="Z45" s="18"/>
      <c r="AD45" s="21"/>
    </row>
    <row r="46" spans="2:30" ht="15.6" customHeight="1" x14ac:dyDescent="0.2">
      <c r="B46" s="30" t="s">
        <v>51</v>
      </c>
      <c r="D46" s="85">
        <v>18000</v>
      </c>
      <c r="E46" s="85">
        <v>15613</v>
      </c>
      <c r="F46" s="148">
        <f t="shared" si="26"/>
        <v>2387</v>
      </c>
      <c r="G46" s="85">
        <v>12600</v>
      </c>
      <c r="H46" s="85">
        <v>14908</v>
      </c>
      <c r="I46" s="148">
        <f t="shared" si="27"/>
        <v>-2308</v>
      </c>
      <c r="J46" s="85">
        <v>10743</v>
      </c>
      <c r="K46" s="168">
        <f t="shared" si="28"/>
        <v>1857</v>
      </c>
      <c r="L46" s="85">
        <v>10733.82</v>
      </c>
      <c r="M46" s="85">
        <v>10490.76</v>
      </c>
      <c r="N46" s="85">
        <v>10147.939999999999</v>
      </c>
      <c r="O46" s="85">
        <v>8725</v>
      </c>
      <c r="P46" s="86">
        <v>6649</v>
      </c>
      <c r="Q46" s="85">
        <v>7860</v>
      </c>
      <c r="R46" s="31">
        <v>7799</v>
      </c>
      <c r="S46" s="26">
        <v>8286</v>
      </c>
      <c r="T46" s="31">
        <v>0</v>
      </c>
      <c r="U46" s="32">
        <v>0</v>
      </c>
      <c r="V46" s="32">
        <v>0</v>
      </c>
      <c r="W46" s="18"/>
      <c r="X46" s="26">
        <f t="shared" si="29"/>
        <v>-2308</v>
      </c>
      <c r="Y46" s="27">
        <f>X46/H46</f>
        <v>-0.15481620606385832</v>
      </c>
      <c r="Z46" s="18"/>
      <c r="AD46" s="21"/>
    </row>
    <row r="47" spans="2:30" ht="13.15" hidden="1" customHeight="1" x14ac:dyDescent="0.2">
      <c r="B47" s="30" t="s">
        <v>52</v>
      </c>
      <c r="D47" s="85">
        <v>0</v>
      </c>
      <c r="E47" s="85"/>
      <c r="F47" s="148">
        <f t="shared" si="26"/>
        <v>0</v>
      </c>
      <c r="G47" s="85">
        <v>0</v>
      </c>
      <c r="H47" s="85"/>
      <c r="I47" s="148">
        <f t="shared" si="27"/>
        <v>0</v>
      </c>
      <c r="J47" s="85">
        <f>'[2]FC 2019'!Q70</f>
        <v>0</v>
      </c>
      <c r="K47" s="168">
        <f t="shared" si="28"/>
        <v>0</v>
      </c>
      <c r="L47" s="85">
        <v>0</v>
      </c>
      <c r="M47" s="85">
        <v>0</v>
      </c>
      <c r="N47" s="85">
        <v>0</v>
      </c>
      <c r="O47" s="85">
        <f>'[2]FC 2019'!Q70</f>
        <v>0</v>
      </c>
      <c r="P47" s="86"/>
      <c r="Q47" s="85">
        <v>0</v>
      </c>
      <c r="R47" s="31">
        <v>0</v>
      </c>
      <c r="S47" s="26"/>
      <c r="T47" s="31"/>
      <c r="U47" s="32"/>
      <c r="V47" s="32"/>
      <c r="W47" s="18"/>
      <c r="X47" s="26">
        <f t="shared" si="29"/>
        <v>0</v>
      </c>
      <c r="Y47" s="27">
        <f>IF(X47=0,0,X47/H47)</f>
        <v>0</v>
      </c>
      <c r="Z47" s="18"/>
      <c r="AD47" s="21"/>
    </row>
    <row r="48" spans="2:30" ht="13.15" hidden="1" customHeight="1" x14ac:dyDescent="0.2">
      <c r="B48" s="30" t="s">
        <v>53</v>
      </c>
      <c r="D48" s="85"/>
      <c r="E48" s="85"/>
      <c r="F48" s="148">
        <f t="shared" si="26"/>
        <v>0</v>
      </c>
      <c r="G48" s="85"/>
      <c r="H48" s="85"/>
      <c r="I48" s="148">
        <f t="shared" si="27"/>
        <v>0</v>
      </c>
      <c r="J48" s="85"/>
      <c r="K48" s="168">
        <f t="shared" si="28"/>
        <v>0</v>
      </c>
      <c r="L48" s="85">
        <v>0</v>
      </c>
      <c r="M48" s="85"/>
      <c r="N48" s="85"/>
      <c r="O48" s="85"/>
      <c r="P48" s="86"/>
      <c r="Q48" s="85"/>
      <c r="R48" s="31">
        <v>0</v>
      </c>
      <c r="S48" s="26"/>
      <c r="T48" s="31"/>
      <c r="U48" s="32"/>
      <c r="V48" s="32"/>
      <c r="W48" s="18"/>
      <c r="X48" s="26">
        <f t="shared" si="29"/>
        <v>0</v>
      </c>
      <c r="Y48" s="27">
        <f>IF(X48=0,0,X48/H48)</f>
        <v>0</v>
      </c>
      <c r="Z48" s="18"/>
      <c r="AD48" s="21"/>
    </row>
    <row r="49" spans="2:30" ht="13.15" customHeight="1" x14ac:dyDescent="0.2">
      <c r="B49" s="30" t="s">
        <v>54</v>
      </c>
      <c r="D49" s="85">
        <v>28800</v>
      </c>
      <c r="E49" s="85">
        <v>23214</v>
      </c>
      <c r="F49" s="148">
        <f t="shared" si="26"/>
        <v>5586</v>
      </c>
      <c r="G49" s="85">
        <v>32664</v>
      </c>
      <c r="H49" s="85">
        <v>19158</v>
      </c>
      <c r="I49" s="148">
        <f t="shared" si="27"/>
        <v>13506</v>
      </c>
      <c r="J49" s="85">
        <v>18282</v>
      </c>
      <c r="K49" s="168">
        <f t="shared" si="28"/>
        <v>14382</v>
      </c>
      <c r="L49" s="85">
        <v>15372.07</v>
      </c>
      <c r="M49" s="85">
        <v>15686.89</v>
      </c>
      <c r="N49" s="85">
        <v>16422.18</v>
      </c>
      <c r="O49" s="85">
        <v>15948</v>
      </c>
      <c r="P49" s="86">
        <v>13120</v>
      </c>
      <c r="Q49" s="85">
        <v>14354</v>
      </c>
      <c r="R49" s="31">
        <v>13566</v>
      </c>
      <c r="S49" s="26">
        <v>13685</v>
      </c>
      <c r="T49" s="31">
        <v>0</v>
      </c>
      <c r="U49" s="32">
        <v>0</v>
      </c>
      <c r="V49" s="32">
        <v>0</v>
      </c>
      <c r="W49" s="18"/>
      <c r="X49" s="26">
        <f t="shared" si="29"/>
        <v>13506</v>
      </c>
      <c r="Y49" s="27">
        <f>X49/H49</f>
        <v>0.70497964296899462</v>
      </c>
      <c r="Z49" s="18"/>
      <c r="AD49" s="21"/>
    </row>
    <row r="50" spans="2:30" ht="12.2" customHeight="1" x14ac:dyDescent="0.2">
      <c r="B50" s="33"/>
      <c r="D50" s="87"/>
      <c r="E50" s="87"/>
      <c r="F50" s="155">
        <f t="shared" si="26"/>
        <v>0</v>
      </c>
      <c r="G50" s="87"/>
      <c r="H50" s="87"/>
      <c r="I50" s="155">
        <f t="shared" si="27"/>
        <v>0</v>
      </c>
      <c r="J50" s="87"/>
      <c r="K50" s="179"/>
      <c r="L50" s="87"/>
      <c r="M50" s="87"/>
      <c r="N50" s="87"/>
      <c r="O50" s="87"/>
      <c r="P50" s="87"/>
      <c r="Q50" s="87"/>
      <c r="R50" s="34"/>
      <c r="S50" s="35"/>
      <c r="T50" s="34"/>
      <c r="U50" s="88"/>
      <c r="V50" s="88"/>
      <c r="W50" s="18"/>
      <c r="X50" s="26">
        <f t="shared" si="29"/>
        <v>0</v>
      </c>
      <c r="Y50" s="27"/>
      <c r="Z50" s="18"/>
      <c r="AD50" s="21"/>
    </row>
    <row r="51" spans="2:30" ht="12" customHeight="1" x14ac:dyDescent="0.2">
      <c r="B51" s="71" t="s">
        <v>55</v>
      </c>
      <c r="C51" s="4"/>
      <c r="D51" s="89">
        <f>SUM(D44:D49)</f>
        <v>286800</v>
      </c>
      <c r="E51" s="89">
        <f>SUM(E44:E49)</f>
        <v>261620</v>
      </c>
      <c r="F51" s="156">
        <f t="shared" si="26"/>
        <v>25180</v>
      </c>
      <c r="G51" s="89">
        <f>SUM(G44:G49)</f>
        <v>298464</v>
      </c>
      <c r="H51" s="89">
        <f>SUM(H44:H49)</f>
        <v>223391</v>
      </c>
      <c r="I51" s="156">
        <f t="shared" si="27"/>
        <v>75073</v>
      </c>
      <c r="J51" s="89">
        <f>SUM(J44:J49)</f>
        <v>217952</v>
      </c>
      <c r="K51" s="180">
        <f t="shared" ref="K51" si="30">+G51-J51</f>
        <v>80512</v>
      </c>
      <c r="L51" s="89">
        <v>184461.3</v>
      </c>
      <c r="M51" s="89">
        <v>187211.82</v>
      </c>
      <c r="N51" s="89">
        <f t="shared" ref="N51:S51" si="31">SUM(N44:N49)</f>
        <v>197716.59</v>
      </c>
      <c r="O51" s="89">
        <f t="shared" si="31"/>
        <v>203165</v>
      </c>
      <c r="P51" s="89">
        <f t="shared" si="31"/>
        <v>170212</v>
      </c>
      <c r="Q51" s="89">
        <f t="shared" si="31"/>
        <v>189122</v>
      </c>
      <c r="R51" s="89">
        <f t="shared" si="31"/>
        <v>172879</v>
      </c>
      <c r="S51" s="89">
        <f t="shared" si="31"/>
        <v>182678</v>
      </c>
      <c r="T51" s="89">
        <v>178966</v>
      </c>
      <c r="U51" s="73">
        <v>156327</v>
      </c>
      <c r="V51" s="73">
        <v>170404</v>
      </c>
      <c r="W51" s="25"/>
      <c r="X51" s="72">
        <f t="shared" si="29"/>
        <v>75073</v>
      </c>
      <c r="Y51" s="74">
        <f>X51/H51</f>
        <v>0.33606098723762373</v>
      </c>
      <c r="Z51" s="75"/>
      <c r="AD51" s="29"/>
    </row>
    <row r="52" spans="2:30" ht="12" customHeight="1" x14ac:dyDescent="0.2">
      <c r="B52" s="48"/>
      <c r="C52" s="49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7"/>
      <c r="X52" s="76"/>
      <c r="Y52" s="76"/>
      <c r="Z52" s="77"/>
      <c r="AD52" s="59"/>
    </row>
    <row r="53" spans="2:30" ht="12" customHeight="1" x14ac:dyDescent="0.2">
      <c r="B53" s="64" t="s">
        <v>56</v>
      </c>
      <c r="C53" s="4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10"/>
      <c r="X53" s="78"/>
      <c r="Y53" s="78"/>
      <c r="Z53" s="10"/>
      <c r="AD53" s="59"/>
    </row>
    <row r="54" spans="2:30" ht="12" customHeight="1" x14ac:dyDescent="0.2">
      <c r="B54" s="30" t="s">
        <v>57</v>
      </c>
      <c r="D54" s="81">
        <v>1860</v>
      </c>
      <c r="E54" s="81">
        <v>2040</v>
      </c>
      <c r="F54" s="148">
        <f t="shared" ref="F54:F65" si="32">D54-E54</f>
        <v>-180</v>
      </c>
      <c r="G54" s="81">
        <v>1860</v>
      </c>
      <c r="H54" s="81">
        <v>2180</v>
      </c>
      <c r="I54" s="148">
        <f t="shared" ref="I54:I65" si="33">G54-H54</f>
        <v>-320</v>
      </c>
      <c r="J54" s="81">
        <v>1860</v>
      </c>
      <c r="K54" s="181">
        <f t="shared" ref="K54:K65" si="34">+G54-J54</f>
        <v>0</v>
      </c>
      <c r="L54" s="81">
        <v>1810</v>
      </c>
      <c r="M54" s="81">
        <v>1800</v>
      </c>
      <c r="N54" s="81">
        <v>1850</v>
      </c>
      <c r="O54" s="81">
        <f>'[2]FC 2019'!Q77</f>
        <v>1860</v>
      </c>
      <c r="P54" s="81">
        <v>1800</v>
      </c>
      <c r="Q54" s="81">
        <v>1822</v>
      </c>
      <c r="R54" s="81">
        <v>1800</v>
      </c>
      <c r="S54" s="81">
        <v>1824.5</v>
      </c>
      <c r="T54" s="81">
        <v>1800</v>
      </c>
      <c r="U54" s="81">
        <v>1800</v>
      </c>
      <c r="V54" s="81">
        <v>1800</v>
      </c>
      <c r="W54" s="90"/>
      <c r="X54" s="26">
        <f t="shared" ref="X54:X65" si="35">G54-H54</f>
        <v>-320</v>
      </c>
      <c r="Y54" s="27">
        <f>X54/H54</f>
        <v>-0.14678899082568808</v>
      </c>
      <c r="Z54" s="90"/>
      <c r="AD54" s="21"/>
    </row>
    <row r="55" spans="2:30" ht="12.2" customHeight="1" x14ac:dyDescent="0.2">
      <c r="B55" s="30" t="s">
        <v>58</v>
      </c>
      <c r="D55" s="31">
        <v>30000</v>
      </c>
      <c r="E55" s="31">
        <v>20318</v>
      </c>
      <c r="F55" s="148">
        <f t="shared" si="32"/>
        <v>9682</v>
      </c>
      <c r="G55" s="31">
        <v>30000</v>
      </c>
      <c r="H55" s="31">
        <v>40711</v>
      </c>
      <c r="I55" s="148">
        <f t="shared" si="33"/>
        <v>-10711</v>
      </c>
      <c r="J55" s="31">
        <v>26905</v>
      </c>
      <c r="K55" s="168">
        <f t="shared" si="34"/>
        <v>3095</v>
      </c>
      <c r="L55" s="31">
        <v>34975</v>
      </c>
      <c r="M55" s="31">
        <v>29707.51</v>
      </c>
      <c r="N55" s="31">
        <v>20994.839999999997</v>
      </c>
      <c r="O55" s="31">
        <v>36960</v>
      </c>
      <c r="P55" s="31">
        <v>29917</v>
      </c>
      <c r="Q55" s="31">
        <v>29473</v>
      </c>
      <c r="R55" s="31">
        <v>33190</v>
      </c>
      <c r="S55" s="31">
        <v>24414.799999999999</v>
      </c>
      <c r="T55" s="31">
        <v>26044.34</v>
      </c>
      <c r="U55" s="31">
        <v>31692.9</v>
      </c>
      <c r="V55" s="31">
        <v>17335.240000000002</v>
      </c>
      <c r="W55" s="90"/>
      <c r="X55" s="26">
        <f t="shared" si="35"/>
        <v>-10711</v>
      </c>
      <c r="Y55" s="27">
        <f>X55/H55</f>
        <v>-0.2630984254869691</v>
      </c>
      <c r="Z55" s="90"/>
      <c r="AD55" s="21"/>
    </row>
    <row r="56" spans="2:30" ht="16.149999999999999" customHeight="1" x14ac:dyDescent="0.2">
      <c r="B56" s="30" t="s">
        <v>59</v>
      </c>
      <c r="D56" s="31">
        <v>42000</v>
      </c>
      <c r="E56" s="31">
        <v>25953</v>
      </c>
      <c r="F56" s="148">
        <f t="shared" si="32"/>
        <v>16047</v>
      </c>
      <c r="G56" s="31">
        <v>49200</v>
      </c>
      <c r="H56" s="31">
        <v>25231</v>
      </c>
      <c r="I56" s="148">
        <f t="shared" si="33"/>
        <v>23969</v>
      </c>
      <c r="J56" s="31">
        <v>114706</v>
      </c>
      <c r="K56" s="168">
        <f t="shared" si="34"/>
        <v>-65506</v>
      </c>
      <c r="L56" s="31">
        <v>111965.47</v>
      </c>
      <c r="M56" s="31">
        <v>132409.34</v>
      </c>
      <c r="N56" s="31">
        <v>82335.88</v>
      </c>
      <c r="O56" s="31">
        <v>67194</v>
      </c>
      <c r="P56" s="31">
        <v>70357</v>
      </c>
      <c r="Q56" s="31">
        <v>15842</v>
      </c>
      <c r="R56" s="31">
        <v>16461</v>
      </c>
      <c r="S56" s="31">
        <v>14193.15</v>
      </c>
      <c r="T56" s="31">
        <v>20512.099999999999</v>
      </c>
      <c r="U56" s="31">
        <v>37784.43</v>
      </c>
      <c r="V56" s="31">
        <v>1084.43</v>
      </c>
      <c r="W56" s="90"/>
      <c r="X56" s="26">
        <f t="shared" si="35"/>
        <v>23969</v>
      </c>
      <c r="Y56" s="27">
        <f>X56/H56</f>
        <v>0.94998216479727315</v>
      </c>
      <c r="Z56" s="90"/>
      <c r="AD56" s="21"/>
    </row>
    <row r="57" spans="2:30" ht="0.6" customHeight="1" x14ac:dyDescent="0.2">
      <c r="B57" s="30" t="s">
        <v>60</v>
      </c>
      <c r="D57" s="31"/>
      <c r="E57" s="31"/>
      <c r="F57" s="148">
        <f t="shared" si="32"/>
        <v>0</v>
      </c>
      <c r="G57" s="31"/>
      <c r="H57" s="31"/>
      <c r="I57" s="148">
        <f t="shared" si="33"/>
        <v>0</v>
      </c>
      <c r="J57" s="31"/>
      <c r="K57" s="168">
        <f t="shared" si="34"/>
        <v>0</v>
      </c>
      <c r="L57" s="31">
        <v>420.02</v>
      </c>
      <c r="M57" s="31"/>
      <c r="N57" s="31"/>
      <c r="O57" s="31"/>
      <c r="P57" s="31"/>
      <c r="Q57" s="31"/>
      <c r="R57" s="31"/>
      <c r="S57" s="31"/>
      <c r="T57" s="31"/>
      <c r="U57" s="31">
        <v>0</v>
      </c>
      <c r="V57" s="31">
        <v>0</v>
      </c>
      <c r="W57" s="90"/>
      <c r="X57" s="26">
        <f t="shared" si="35"/>
        <v>0</v>
      </c>
      <c r="Y57" s="27">
        <f>IF(H57=0,0,X57/H57)</f>
        <v>0</v>
      </c>
      <c r="Z57" s="90"/>
      <c r="AD57" s="21"/>
    </row>
    <row r="58" spans="2:30" ht="16.149999999999999" customHeight="1" x14ac:dyDescent="0.2">
      <c r="B58" s="30" t="s">
        <v>61</v>
      </c>
      <c r="D58" s="91">
        <v>549.95999999999992</v>
      </c>
      <c r="E58" s="91"/>
      <c r="F58" s="148">
        <f t="shared" si="32"/>
        <v>549.95999999999992</v>
      </c>
      <c r="G58" s="91">
        <v>550</v>
      </c>
      <c r="H58" s="91">
        <v>85</v>
      </c>
      <c r="I58" s="148">
        <f t="shared" si="33"/>
        <v>465</v>
      </c>
      <c r="J58" s="31">
        <v>256</v>
      </c>
      <c r="K58" s="168">
        <f t="shared" si="34"/>
        <v>294</v>
      </c>
      <c r="L58" s="31">
        <v>420.02</v>
      </c>
      <c r="M58" s="31">
        <v>317.01</v>
      </c>
      <c r="N58" s="31">
        <v>1374.94</v>
      </c>
      <c r="O58" s="31">
        <v>1057</v>
      </c>
      <c r="P58" s="31"/>
      <c r="Q58" s="31">
        <v>0</v>
      </c>
      <c r="R58" s="31">
        <v>0</v>
      </c>
      <c r="S58" s="31">
        <v>0</v>
      </c>
      <c r="T58" s="31">
        <v>0</v>
      </c>
      <c r="U58" s="31">
        <v>120</v>
      </c>
      <c r="V58" s="31">
        <v>91.33</v>
      </c>
      <c r="W58" s="90"/>
      <c r="X58" s="26">
        <f t="shared" si="35"/>
        <v>465</v>
      </c>
      <c r="Y58" s="27">
        <f>X58/H58</f>
        <v>5.4705882352941178</v>
      </c>
      <c r="Z58" s="90"/>
      <c r="AD58" s="21"/>
    </row>
    <row r="59" spans="2:30" ht="12.2" customHeight="1" x14ac:dyDescent="0.2">
      <c r="B59" s="30" t="s">
        <v>62</v>
      </c>
      <c r="D59" s="91">
        <v>21671.300000000003</v>
      </c>
      <c r="E59" s="91">
        <v>18673</v>
      </c>
      <c r="F59" s="148">
        <f t="shared" si="32"/>
        <v>2998.3000000000029</v>
      </c>
      <c r="G59" s="91">
        <v>18260.5</v>
      </c>
      <c r="H59" s="91">
        <v>9563</v>
      </c>
      <c r="I59" s="148">
        <f t="shared" si="33"/>
        <v>8697.5</v>
      </c>
      <c r="J59" s="31">
        <v>9543</v>
      </c>
      <c r="K59" s="168">
        <f t="shared" si="34"/>
        <v>8717.5</v>
      </c>
      <c r="L59" s="31">
        <v>8741.02</v>
      </c>
      <c r="M59" s="31">
        <v>4112.76</v>
      </c>
      <c r="N59" s="31">
        <v>5823.4400000000005</v>
      </c>
      <c r="O59" s="31">
        <v>-252</v>
      </c>
      <c r="P59" s="31">
        <v>9309</v>
      </c>
      <c r="Q59" s="31">
        <v>6222</v>
      </c>
      <c r="R59" s="31">
        <v>6105</v>
      </c>
      <c r="S59" s="31">
        <v>7752.02</v>
      </c>
      <c r="T59" s="31">
        <v>7493.46</v>
      </c>
      <c r="U59" s="31">
        <v>3842.8</v>
      </c>
      <c r="V59" s="31">
        <v>4168</v>
      </c>
      <c r="W59" s="90"/>
      <c r="X59" s="26">
        <f t="shared" si="35"/>
        <v>8697.5</v>
      </c>
      <c r="Y59" s="27">
        <f>X59/H59</f>
        <v>0.90949492836975843</v>
      </c>
      <c r="Z59" s="90"/>
      <c r="AD59" s="21"/>
    </row>
    <row r="60" spans="2:30" ht="12.2" customHeight="1" x14ac:dyDescent="0.2">
      <c r="B60" s="30" t="s">
        <v>63</v>
      </c>
      <c r="D60" s="91">
        <v>49440</v>
      </c>
      <c r="E60" s="91">
        <v>49466</v>
      </c>
      <c r="F60" s="148">
        <f t="shared" si="32"/>
        <v>-26</v>
      </c>
      <c r="G60" s="91">
        <v>49440</v>
      </c>
      <c r="H60" s="91">
        <v>38131</v>
      </c>
      <c r="I60" s="148">
        <f t="shared" si="33"/>
        <v>11309</v>
      </c>
      <c r="J60" s="31">
        <v>51627</v>
      </c>
      <c r="K60" s="168">
        <f t="shared" si="34"/>
        <v>-2187</v>
      </c>
      <c r="L60" s="31">
        <v>51808.59</v>
      </c>
      <c r="M60" s="31">
        <v>53915.520000000004</v>
      </c>
      <c r="N60" s="31">
        <v>52952.359999999993</v>
      </c>
      <c r="O60" s="31">
        <v>48533</v>
      </c>
      <c r="P60" s="31">
        <v>48916</v>
      </c>
      <c r="Q60" s="31">
        <v>47190</v>
      </c>
      <c r="R60" s="31">
        <v>49395</v>
      </c>
      <c r="S60" s="31">
        <v>45600</v>
      </c>
      <c r="T60" s="31">
        <v>46356.45</v>
      </c>
      <c r="U60" s="31">
        <v>45047</v>
      </c>
      <c r="V60" s="31">
        <v>0</v>
      </c>
      <c r="W60" s="90"/>
      <c r="X60" s="26">
        <f t="shared" si="35"/>
        <v>11309</v>
      </c>
      <c r="Y60" s="27">
        <f>X60/H60</f>
        <v>0.29658283286564735</v>
      </c>
      <c r="Z60" s="90"/>
      <c r="AD60" s="21"/>
    </row>
    <row r="61" spans="2:30" ht="12.2" customHeight="1" x14ac:dyDescent="0.2">
      <c r="B61" s="30" t="s">
        <v>25</v>
      </c>
      <c r="D61" s="91">
        <v>698304.60000000009</v>
      </c>
      <c r="E61" s="91">
        <v>665051</v>
      </c>
      <c r="F61" s="148">
        <f t="shared" si="32"/>
        <v>33253.600000000093</v>
      </c>
      <c r="G61" s="91">
        <v>655057</v>
      </c>
      <c r="H61" s="91">
        <v>645686</v>
      </c>
      <c r="I61" s="148">
        <f t="shared" si="33"/>
        <v>9371</v>
      </c>
      <c r="J61" s="31">
        <v>626880</v>
      </c>
      <c r="K61" s="168">
        <f t="shared" si="34"/>
        <v>28177</v>
      </c>
      <c r="L61" s="31">
        <v>608618.21444400004</v>
      </c>
      <c r="M61" s="31">
        <v>625894.31000000006</v>
      </c>
      <c r="N61" s="31">
        <v>582293</v>
      </c>
      <c r="O61" s="31">
        <v>556972</v>
      </c>
      <c r="P61" s="31">
        <v>536556</v>
      </c>
      <c r="Q61" s="31">
        <v>425460</v>
      </c>
      <c r="R61" s="31">
        <v>342746</v>
      </c>
      <c r="S61" s="31">
        <v>342746</v>
      </c>
      <c r="T61" s="31">
        <v>356222</v>
      </c>
      <c r="U61" s="31">
        <v>347070.26</v>
      </c>
      <c r="V61" s="31">
        <v>335472.2</v>
      </c>
      <c r="W61" s="90"/>
      <c r="X61" s="26">
        <f t="shared" si="35"/>
        <v>9371</v>
      </c>
      <c r="Y61" s="27">
        <f>X61/H61</f>
        <v>1.4513246376721812E-2</v>
      </c>
      <c r="Z61" s="90"/>
      <c r="AD61" s="21"/>
    </row>
    <row r="62" spans="2:30" ht="12.2" customHeight="1" x14ac:dyDescent="0.2">
      <c r="B62" s="30" t="s">
        <v>64</v>
      </c>
      <c r="D62" s="91">
        <v>24000</v>
      </c>
      <c r="E62" s="91">
        <v>18540</v>
      </c>
      <c r="F62" s="148">
        <f t="shared" si="32"/>
        <v>5460</v>
      </c>
      <c r="G62" s="91">
        <v>24000</v>
      </c>
      <c r="H62" s="91">
        <v>23332</v>
      </c>
      <c r="I62" s="148">
        <f t="shared" si="33"/>
        <v>668</v>
      </c>
      <c r="J62" s="31">
        <v>34168</v>
      </c>
      <c r="K62" s="168">
        <f t="shared" si="34"/>
        <v>-10168</v>
      </c>
      <c r="L62" s="31">
        <v>27343.629999999994</v>
      </c>
      <c r="M62" s="31">
        <v>43154.520000000011</v>
      </c>
      <c r="N62" s="31">
        <v>66188.709999999992</v>
      </c>
      <c r="O62" s="31">
        <v>64276</v>
      </c>
      <c r="P62" s="31">
        <v>3936</v>
      </c>
      <c r="Q62" s="31">
        <v>4562</v>
      </c>
      <c r="R62" s="31">
        <v>1255</v>
      </c>
      <c r="S62" s="31">
        <v>5784.21</v>
      </c>
      <c r="T62" s="31">
        <v>737.57</v>
      </c>
      <c r="U62" s="31">
        <v>3201.24</v>
      </c>
      <c r="V62" s="31">
        <v>361.92</v>
      </c>
      <c r="W62" s="90"/>
      <c r="X62" s="26">
        <f t="shared" si="35"/>
        <v>668</v>
      </c>
      <c r="Y62" s="27">
        <f>X62/H62</f>
        <v>2.8630207440425166E-2</v>
      </c>
      <c r="Z62" s="90"/>
      <c r="AD62" s="21"/>
    </row>
    <row r="63" spans="2:30" ht="12.2" customHeight="1" x14ac:dyDescent="0.2">
      <c r="B63" s="30" t="s">
        <v>65</v>
      </c>
      <c r="D63" s="91">
        <v>0</v>
      </c>
      <c r="E63" s="31">
        <v>0</v>
      </c>
      <c r="F63" s="148">
        <f t="shared" si="32"/>
        <v>0</v>
      </c>
      <c r="G63" s="91"/>
      <c r="H63" s="31"/>
      <c r="I63" s="148">
        <f t="shared" si="33"/>
        <v>0</v>
      </c>
      <c r="J63" s="31"/>
      <c r="K63" s="168">
        <f t="shared" si="34"/>
        <v>0</v>
      </c>
      <c r="L63" s="31">
        <v>0</v>
      </c>
      <c r="M63" s="31">
        <v>0</v>
      </c>
      <c r="N63" s="31"/>
      <c r="O63" s="31">
        <f>'[2]FC 2019'!Q85</f>
        <v>0</v>
      </c>
      <c r="P63" s="31">
        <f>'[2]FC 2019'!Q85</f>
        <v>0</v>
      </c>
      <c r="Q63" s="31">
        <v>0</v>
      </c>
      <c r="R63" s="31">
        <v>78768</v>
      </c>
      <c r="S63" s="31">
        <v>78768</v>
      </c>
      <c r="T63" s="31">
        <v>75014</v>
      </c>
      <c r="U63" s="31">
        <v>71442</v>
      </c>
      <c r="V63" s="31">
        <v>68040</v>
      </c>
      <c r="W63" s="90"/>
      <c r="X63" s="26">
        <f t="shared" si="35"/>
        <v>0</v>
      </c>
      <c r="Y63" s="27">
        <f>IF(X63=0,0,X63/H63)</f>
        <v>0</v>
      </c>
      <c r="Z63" s="90"/>
      <c r="AD63" s="21"/>
    </row>
    <row r="64" spans="2:30" ht="12.2" customHeight="1" x14ac:dyDescent="0.2">
      <c r="B64" s="33" t="s">
        <v>66</v>
      </c>
      <c r="D64" s="34">
        <v>5600.04</v>
      </c>
      <c r="E64" s="34">
        <v>-250</v>
      </c>
      <c r="F64" s="150">
        <f t="shared" si="32"/>
        <v>5850.04</v>
      </c>
      <c r="G64" s="34">
        <v>5600</v>
      </c>
      <c r="H64" s="34">
        <v>2665</v>
      </c>
      <c r="I64" s="150">
        <f t="shared" si="33"/>
        <v>2935</v>
      </c>
      <c r="J64" s="34">
        <f>'[2]FC 2019'!Q86</f>
        <v>4800</v>
      </c>
      <c r="K64" s="171">
        <f t="shared" si="34"/>
        <v>800</v>
      </c>
      <c r="L64" s="34">
        <v>4200</v>
      </c>
      <c r="M64" s="34">
        <v>4200</v>
      </c>
      <c r="N64" s="34">
        <v>2800</v>
      </c>
      <c r="O64" s="34">
        <v>2500</v>
      </c>
      <c r="P64" s="34">
        <v>5900</v>
      </c>
      <c r="Q64" s="34">
        <v>7480</v>
      </c>
      <c r="R64" s="34">
        <v>9880</v>
      </c>
      <c r="S64" s="34">
        <v>9800</v>
      </c>
      <c r="T64" s="34">
        <v>3500</v>
      </c>
      <c r="U64" s="34">
        <v>0</v>
      </c>
      <c r="V64" s="34">
        <v>2706</v>
      </c>
      <c r="W64" s="90"/>
      <c r="X64" s="26">
        <f t="shared" si="35"/>
        <v>2935</v>
      </c>
      <c r="Y64" s="27">
        <f>X64/H64</f>
        <v>1.1013133208255159</v>
      </c>
      <c r="Z64" s="90"/>
      <c r="AD64" s="21"/>
    </row>
    <row r="65" spans="2:30" ht="12.2" customHeight="1" x14ac:dyDescent="0.2">
      <c r="B65" s="71" t="s">
        <v>67</v>
      </c>
      <c r="C65" s="4"/>
      <c r="D65" s="92">
        <f>SUM(D54:D64)</f>
        <v>873425.90000000014</v>
      </c>
      <c r="E65" s="92">
        <f>SUM(E54:E64)</f>
        <v>799791</v>
      </c>
      <c r="F65" s="158">
        <f t="shared" si="32"/>
        <v>73634.90000000014</v>
      </c>
      <c r="G65" s="92">
        <f>SUM(G54:G64)</f>
        <v>833967.5</v>
      </c>
      <c r="H65" s="92">
        <f>SUM(H54:H64)</f>
        <v>787584</v>
      </c>
      <c r="I65" s="158">
        <f t="shared" si="33"/>
        <v>46383.5</v>
      </c>
      <c r="J65" s="92">
        <f>SUM(J54:J64)</f>
        <v>870745</v>
      </c>
      <c r="K65" s="182">
        <f t="shared" si="34"/>
        <v>-36777.5</v>
      </c>
      <c r="L65" s="92">
        <v>849883</v>
      </c>
      <c r="M65" s="92">
        <v>895510.97000000009</v>
      </c>
      <c r="N65" s="92">
        <f>SUM(N54:N64)</f>
        <v>816613.16999999993</v>
      </c>
      <c r="O65" s="92">
        <f>SUM(O54:O64)</f>
        <v>779100</v>
      </c>
      <c r="P65" s="92">
        <f t="shared" ref="P65:V65" si="36">SUM(P54:P64)</f>
        <v>706691</v>
      </c>
      <c r="Q65" s="92">
        <f t="shared" si="36"/>
        <v>538051</v>
      </c>
      <c r="R65" s="92">
        <f t="shared" si="36"/>
        <v>539600</v>
      </c>
      <c r="S65" s="45">
        <f t="shared" si="36"/>
        <v>530882.67999999993</v>
      </c>
      <c r="T65" s="89">
        <f t="shared" si="36"/>
        <v>537679.91999999993</v>
      </c>
      <c r="U65" s="73">
        <f t="shared" si="36"/>
        <v>542000.63</v>
      </c>
      <c r="V65" s="73">
        <f t="shared" si="36"/>
        <v>431059.12</v>
      </c>
      <c r="W65" s="93"/>
      <c r="X65" s="72">
        <f t="shared" si="35"/>
        <v>46383.5</v>
      </c>
      <c r="Y65" s="74">
        <f>X65/H65</f>
        <v>5.889340057695433E-2</v>
      </c>
      <c r="Z65" s="94"/>
      <c r="AD65" s="29"/>
    </row>
    <row r="66" spans="2:30" ht="5.0999999999999996" customHeight="1" x14ac:dyDescent="0.2">
      <c r="B66" s="48"/>
      <c r="C66" s="49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77"/>
      <c r="X66" s="76"/>
      <c r="Y66" s="76"/>
      <c r="Z66" s="77"/>
      <c r="AD66" s="59"/>
    </row>
    <row r="67" spans="2:30" x14ac:dyDescent="0.2">
      <c r="B67" s="64" t="s">
        <v>68</v>
      </c>
      <c r="C67" s="4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10"/>
      <c r="X67" s="9"/>
      <c r="Y67" s="9"/>
      <c r="Z67" s="10"/>
      <c r="AD67" s="59"/>
    </row>
    <row r="68" spans="2:30" ht="12.2" customHeight="1" x14ac:dyDescent="0.2">
      <c r="B68" s="96" t="s">
        <v>69</v>
      </c>
      <c r="C68" s="97">
        <f t="shared" ref="C68:V68" si="37">C41-C51-C65</f>
        <v>0</v>
      </c>
      <c r="D68" s="97">
        <f>D41-D51-D65</f>
        <v>1913392.0999999999</v>
      </c>
      <c r="E68" s="97">
        <f>E41-E51-E65</f>
        <v>1669504.3599999999</v>
      </c>
      <c r="F68" s="158">
        <f t="shared" ref="F68" si="38">D68-E68</f>
        <v>243887.74</v>
      </c>
      <c r="G68" s="97">
        <f>G41-G51-G65</f>
        <v>1695043.8099999996</v>
      </c>
      <c r="H68" s="97">
        <f>H41-H51-H65</f>
        <v>1577075</v>
      </c>
      <c r="I68" s="158">
        <f t="shared" ref="I68" si="39">G68-H68</f>
        <v>117968.80999999959</v>
      </c>
      <c r="J68" s="97">
        <f t="shared" si="37"/>
        <v>1936829</v>
      </c>
      <c r="K68" s="183">
        <f t="shared" ref="K68" si="40">+G68-J68</f>
        <v>-241785.19000000041</v>
      </c>
      <c r="L68" s="97">
        <f>L41-L51-L65</f>
        <v>1788075.79</v>
      </c>
      <c r="M68" s="97">
        <v>1949213.9066770417</v>
      </c>
      <c r="N68" s="97">
        <f t="shared" si="37"/>
        <v>1877306.6099999999</v>
      </c>
      <c r="O68" s="97">
        <f t="shared" si="37"/>
        <v>1848366</v>
      </c>
      <c r="P68" s="97">
        <f t="shared" si="37"/>
        <v>1799518</v>
      </c>
      <c r="Q68" s="97">
        <f t="shared" si="37"/>
        <v>1778984</v>
      </c>
      <c r="R68" s="97">
        <f t="shared" si="37"/>
        <v>1894746</v>
      </c>
      <c r="S68" s="98">
        <f t="shared" si="37"/>
        <v>1826524.18</v>
      </c>
      <c r="T68" s="55">
        <f t="shared" si="37"/>
        <v>1903314.1500000008</v>
      </c>
      <c r="U68" s="99">
        <f t="shared" si="37"/>
        <v>1742113.83</v>
      </c>
      <c r="V68" s="99">
        <f t="shared" si="37"/>
        <v>1925631.7299999991</v>
      </c>
      <c r="W68" s="93"/>
      <c r="X68" s="72">
        <f>G68-H68</f>
        <v>117968.80999999959</v>
      </c>
      <c r="Y68" s="74">
        <f>X68/H68</f>
        <v>7.4802282706909681E-2</v>
      </c>
      <c r="Z68" s="93"/>
      <c r="AD68" s="29"/>
    </row>
    <row r="69" spans="2:30" ht="12.2" customHeight="1" x14ac:dyDescent="0.2">
      <c r="B69" s="2"/>
      <c r="C69" s="4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93"/>
      <c r="X69" s="100"/>
      <c r="Y69" s="100"/>
      <c r="Z69" s="93"/>
      <c r="AD69" s="29"/>
    </row>
    <row r="70" spans="2:30" x14ac:dyDescent="0.2">
      <c r="B70" s="48"/>
      <c r="C70" s="49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7"/>
      <c r="X70" s="76"/>
      <c r="Y70" s="76"/>
      <c r="Z70" s="77"/>
      <c r="AD70" s="59"/>
    </row>
    <row r="71" spans="2:30" x14ac:dyDescent="0.2">
      <c r="B71" s="60" t="s">
        <v>70</v>
      </c>
      <c r="C71" s="6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2"/>
      <c r="T71" s="101"/>
      <c r="U71" s="101"/>
      <c r="V71" s="101"/>
      <c r="W71" s="101"/>
      <c r="X71" s="101"/>
      <c r="Y71" s="101"/>
      <c r="Z71" s="10"/>
      <c r="AD71" s="59"/>
    </row>
    <row r="72" spans="2:30" ht="5.0999999999999996" customHeight="1" x14ac:dyDescent="0.2">
      <c r="B72" s="48"/>
      <c r="C72" s="49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77"/>
      <c r="X72" s="103"/>
      <c r="Y72" s="103"/>
      <c r="Z72" s="77"/>
      <c r="AA72" s="1"/>
      <c r="AB72" s="1"/>
      <c r="AC72" s="1"/>
      <c r="AD72" s="59"/>
    </row>
    <row r="73" spans="2:30" x14ac:dyDescent="0.2">
      <c r="B73" s="64" t="s">
        <v>48</v>
      </c>
      <c r="C73" s="4"/>
      <c r="D73" s="14" t="str">
        <f>D3</f>
        <v>BUDGET 2022</v>
      </c>
      <c r="E73" s="14" t="str">
        <f>E3</f>
        <v>ACT 2021</v>
      </c>
      <c r="F73" s="147" t="s">
        <v>111</v>
      </c>
      <c r="G73" s="14" t="str">
        <f>G3</f>
        <v>BUDGET 2021</v>
      </c>
      <c r="H73" s="14" t="str">
        <f>H3</f>
        <v>ACTUAL 2020</v>
      </c>
      <c r="I73" s="147" t="s">
        <v>111</v>
      </c>
      <c r="J73" s="14" t="str">
        <f>J3</f>
        <v>ACTUAL 2019</v>
      </c>
      <c r="K73" s="185" t="str">
        <f>+K30</f>
        <v>B 2021 vs A2019</v>
      </c>
      <c r="L73" s="14" t="s">
        <v>3</v>
      </c>
      <c r="M73" s="14" t="s">
        <v>4</v>
      </c>
      <c r="N73" s="14" t="str">
        <f>N30</f>
        <v>ACTUAL 2016</v>
      </c>
      <c r="O73" s="14" t="str">
        <f>O3</f>
        <v>ACTUAL 2015</v>
      </c>
      <c r="P73" s="14" t="str">
        <f t="shared" ref="P73:V73" si="41">P30</f>
        <v>ACTUAL 2014</v>
      </c>
      <c r="Q73" s="14" t="str">
        <f t="shared" si="41"/>
        <v>ACTUAL 2013</v>
      </c>
      <c r="R73" s="14" t="str">
        <f t="shared" si="41"/>
        <v>ACTUAL 2012</v>
      </c>
      <c r="S73" s="14" t="str">
        <f t="shared" si="41"/>
        <v>ACTUAL 2011</v>
      </c>
      <c r="T73" s="14" t="str">
        <f t="shared" si="41"/>
        <v>ACTUAL 2010</v>
      </c>
      <c r="U73" s="14" t="str">
        <f t="shared" si="41"/>
        <v>ACTUAL 2009</v>
      </c>
      <c r="V73" s="14" t="str">
        <f t="shared" si="41"/>
        <v>ACTUAL 2008</v>
      </c>
      <c r="W73" s="10"/>
      <c r="X73" s="682" t="str">
        <f>X30</f>
        <v>Var Bud-21 Actual-20</v>
      </c>
      <c r="Y73" s="683"/>
      <c r="Z73" s="10"/>
      <c r="AD73" s="59"/>
    </row>
    <row r="74" spans="2:30" ht="12.2" customHeight="1" x14ac:dyDescent="0.2">
      <c r="B74" s="30" t="s">
        <v>18</v>
      </c>
      <c r="D74" s="85">
        <v>211200</v>
      </c>
      <c r="E74" s="85">
        <v>182144.05000000002</v>
      </c>
      <c r="F74" s="148">
        <f t="shared" ref="F74:F83" si="42">D74-E74</f>
        <v>29055.949999999983</v>
      </c>
      <c r="G74" s="85">
        <v>192000</v>
      </c>
      <c r="H74" s="85">
        <v>131734</v>
      </c>
      <c r="I74" s="148">
        <f t="shared" ref="I74:I83" si="43">G74-H74</f>
        <v>60266</v>
      </c>
      <c r="J74" s="85">
        <v>200345</v>
      </c>
      <c r="K74" s="184">
        <f t="shared" ref="K74:K81" si="44">+G74-J74</f>
        <v>-8345</v>
      </c>
      <c r="L74" s="85">
        <v>208615.64</v>
      </c>
      <c r="M74" s="85">
        <v>203742.61000000004</v>
      </c>
      <c r="N74" s="85">
        <v>207283.56</v>
      </c>
      <c r="O74" s="85">
        <v>238865.5</v>
      </c>
      <c r="P74" s="85">
        <v>252866</v>
      </c>
      <c r="Q74" s="85">
        <v>248141</v>
      </c>
      <c r="R74" s="81">
        <v>250143</v>
      </c>
      <c r="S74" s="26">
        <v>308638.75</v>
      </c>
      <c r="T74" s="31">
        <v>438068.65</v>
      </c>
      <c r="U74" s="32">
        <v>455222.16</v>
      </c>
      <c r="V74" s="32">
        <v>471032.92</v>
      </c>
      <c r="W74" s="18"/>
      <c r="X74" s="26">
        <f t="shared" ref="X74:X83" si="45">G74-H74</f>
        <v>60266</v>
      </c>
      <c r="Y74" s="27">
        <f t="shared" ref="Y74:Y81" si="46">X74/H74</f>
        <v>0.45748250261891388</v>
      </c>
      <c r="Z74" s="18"/>
      <c r="AD74" s="21"/>
    </row>
    <row r="75" spans="2:30" ht="12.2" customHeight="1" x14ac:dyDescent="0.2">
      <c r="B75" s="30" t="s">
        <v>71</v>
      </c>
      <c r="D75" s="85">
        <v>165300</v>
      </c>
      <c r="E75" s="85">
        <v>148912.44999999998</v>
      </c>
      <c r="F75" s="148">
        <f t="shared" si="42"/>
        <v>16387.550000000017</v>
      </c>
      <c r="G75" s="85">
        <v>162000</v>
      </c>
      <c r="H75" s="85">
        <v>97670</v>
      </c>
      <c r="I75" s="148">
        <f t="shared" si="43"/>
        <v>64330</v>
      </c>
      <c r="J75" s="85">
        <v>150261</v>
      </c>
      <c r="K75" s="184">
        <f t="shared" si="44"/>
        <v>11739</v>
      </c>
      <c r="L75" s="85">
        <v>115935.82500000001</v>
      </c>
      <c r="M75" s="85">
        <v>119721.65</v>
      </c>
      <c r="N75" s="85">
        <v>148554.33000000002</v>
      </c>
      <c r="O75" s="85">
        <v>139150</v>
      </c>
      <c r="P75" s="85">
        <v>147576</v>
      </c>
      <c r="Q75" s="85">
        <v>155011</v>
      </c>
      <c r="R75" s="31">
        <v>155579</v>
      </c>
      <c r="S75" s="26">
        <v>143878.29</v>
      </c>
      <c r="T75" s="31">
        <v>193005.24</v>
      </c>
      <c r="U75" s="32">
        <v>181966.72</v>
      </c>
      <c r="V75" s="32">
        <v>159499.6</v>
      </c>
      <c r="W75" s="18"/>
      <c r="X75" s="26">
        <f t="shared" si="45"/>
        <v>64330</v>
      </c>
      <c r="Y75" s="27">
        <f t="shared" si="46"/>
        <v>0.65864646257806903</v>
      </c>
      <c r="Z75" s="18"/>
      <c r="AD75" s="21"/>
    </row>
    <row r="76" spans="2:30" ht="12.2" customHeight="1" x14ac:dyDescent="0.2">
      <c r="B76" s="30" t="s">
        <v>72</v>
      </c>
      <c r="D76" s="85">
        <v>10014</v>
      </c>
      <c r="E76" s="85">
        <v>10008</v>
      </c>
      <c r="F76" s="148">
        <f t="shared" si="42"/>
        <v>6</v>
      </c>
      <c r="G76" s="85">
        <v>10014</v>
      </c>
      <c r="H76" s="85">
        <v>10008</v>
      </c>
      <c r="I76" s="148">
        <f t="shared" si="43"/>
        <v>6</v>
      </c>
      <c r="J76" s="85">
        <v>10008</v>
      </c>
      <c r="K76" s="184">
        <f t="shared" si="44"/>
        <v>6</v>
      </c>
      <c r="L76" s="85">
        <v>10009.92</v>
      </c>
      <c r="M76" s="85">
        <v>10009.92</v>
      </c>
      <c r="N76" s="85">
        <v>12439.599999999999</v>
      </c>
      <c r="O76" s="85">
        <v>23640</v>
      </c>
      <c r="P76" s="85">
        <v>23640</v>
      </c>
      <c r="Q76" s="85">
        <v>23640</v>
      </c>
      <c r="R76" s="31">
        <v>23640</v>
      </c>
      <c r="S76" s="26">
        <v>23640</v>
      </c>
      <c r="T76" s="31">
        <v>23640</v>
      </c>
      <c r="U76" s="32">
        <v>23640</v>
      </c>
      <c r="V76" s="32">
        <v>9984.0300000000007</v>
      </c>
      <c r="W76" s="18"/>
      <c r="X76" s="26">
        <f t="shared" si="45"/>
        <v>6</v>
      </c>
      <c r="Y76" s="27">
        <f t="shared" si="46"/>
        <v>5.9952038369304552E-4</v>
      </c>
      <c r="Z76" s="18"/>
      <c r="AD76" s="21"/>
    </row>
    <row r="77" spans="2:30" ht="12.2" customHeight="1" x14ac:dyDescent="0.2">
      <c r="B77" s="30" t="s">
        <v>50</v>
      </c>
      <c r="D77" s="85">
        <v>36000</v>
      </c>
      <c r="E77" s="85">
        <v>33366.69</v>
      </c>
      <c r="F77" s="148">
        <f t="shared" si="42"/>
        <v>2633.3099999999977</v>
      </c>
      <c r="G77" s="85">
        <v>36000</v>
      </c>
      <c r="H77" s="85">
        <v>24376</v>
      </c>
      <c r="I77" s="148">
        <f t="shared" si="43"/>
        <v>11624</v>
      </c>
      <c r="J77" s="85">
        <v>38921</v>
      </c>
      <c r="K77" s="184">
        <f t="shared" si="44"/>
        <v>-2921</v>
      </c>
      <c r="L77" s="85">
        <v>35630.759999999995</v>
      </c>
      <c r="M77" s="85">
        <v>46624.409999999989</v>
      </c>
      <c r="N77" s="85">
        <v>45683.05</v>
      </c>
      <c r="O77" s="85">
        <v>37249</v>
      </c>
      <c r="P77" s="85">
        <v>35128</v>
      </c>
      <c r="Q77" s="85">
        <v>34909</v>
      </c>
      <c r="R77" s="31">
        <v>36180</v>
      </c>
      <c r="S77" s="26">
        <v>35102.74</v>
      </c>
      <c r="T77" s="31"/>
      <c r="U77" s="32"/>
      <c r="V77" s="32"/>
      <c r="W77" s="18"/>
      <c r="X77" s="26">
        <f t="shared" si="45"/>
        <v>11624</v>
      </c>
      <c r="Y77" s="27">
        <f t="shared" si="46"/>
        <v>0.47686248769281259</v>
      </c>
      <c r="Z77" s="18"/>
      <c r="AD77" s="21"/>
    </row>
    <row r="78" spans="2:30" ht="12.2" customHeight="1" x14ac:dyDescent="0.2">
      <c r="B78" s="30" t="s">
        <v>73</v>
      </c>
      <c r="D78" s="85">
        <v>25200</v>
      </c>
      <c r="E78" s="85">
        <v>23457.16</v>
      </c>
      <c r="F78" s="148">
        <f t="shared" si="42"/>
        <v>1742.8400000000001</v>
      </c>
      <c r="G78" s="85">
        <v>16200</v>
      </c>
      <c r="H78" s="85">
        <v>16667</v>
      </c>
      <c r="I78" s="148">
        <f t="shared" si="43"/>
        <v>-467</v>
      </c>
      <c r="J78" s="85">
        <v>21146</v>
      </c>
      <c r="K78" s="184">
        <f t="shared" si="44"/>
        <v>-4946</v>
      </c>
      <c r="L78" s="85">
        <v>23287.79</v>
      </c>
      <c r="M78" s="85">
        <v>21182.420000000002</v>
      </c>
      <c r="N78" s="85">
        <v>22570.46</v>
      </c>
      <c r="O78" s="85">
        <v>22719</v>
      </c>
      <c r="P78" s="85">
        <v>24063</v>
      </c>
      <c r="Q78" s="85">
        <v>24508</v>
      </c>
      <c r="R78" s="31">
        <v>29319</v>
      </c>
      <c r="S78" s="26">
        <v>27096.65</v>
      </c>
      <c r="T78" s="31"/>
      <c r="U78" s="32"/>
      <c r="V78" s="32"/>
      <c r="W78" s="18"/>
      <c r="X78" s="26">
        <f t="shared" si="45"/>
        <v>-467</v>
      </c>
      <c r="Y78" s="27">
        <f t="shared" si="46"/>
        <v>-2.8019439611207776E-2</v>
      </c>
      <c r="Z78" s="18"/>
      <c r="AD78" s="21"/>
    </row>
    <row r="79" spans="2:30" ht="12.2" customHeight="1" x14ac:dyDescent="0.2">
      <c r="B79" s="30" t="s">
        <v>52</v>
      </c>
      <c r="D79" s="85">
        <v>10240</v>
      </c>
      <c r="E79" s="85">
        <v>8392.91</v>
      </c>
      <c r="F79" s="148">
        <f t="shared" si="42"/>
        <v>1847.0900000000001</v>
      </c>
      <c r="G79" s="85">
        <v>6240</v>
      </c>
      <c r="H79" s="85">
        <v>1694</v>
      </c>
      <c r="I79" s="148">
        <f t="shared" si="43"/>
        <v>4546</v>
      </c>
      <c r="J79" s="85">
        <v>9944</v>
      </c>
      <c r="K79" s="184">
        <f t="shared" si="44"/>
        <v>-3704</v>
      </c>
      <c r="L79" s="85">
        <v>9192.9800000000014</v>
      </c>
      <c r="M79" s="85">
        <v>8107.0499999999993</v>
      </c>
      <c r="N79" s="85">
        <v>10223.369999999999</v>
      </c>
      <c r="O79" s="85">
        <v>13344</v>
      </c>
      <c r="P79" s="85">
        <v>21008</v>
      </c>
      <c r="Q79" s="85">
        <v>5121</v>
      </c>
      <c r="R79" s="31">
        <v>0</v>
      </c>
      <c r="S79" s="26">
        <v>963.68</v>
      </c>
      <c r="T79" s="31"/>
      <c r="U79" s="32"/>
      <c r="V79" s="32"/>
      <c r="W79" s="18"/>
      <c r="X79" s="26">
        <f t="shared" si="45"/>
        <v>4546</v>
      </c>
      <c r="Y79" s="27">
        <f t="shared" si="46"/>
        <v>2.6835891381345927</v>
      </c>
      <c r="Z79" s="18"/>
      <c r="AD79" s="21"/>
    </row>
    <row r="80" spans="2:30" ht="12.2" customHeight="1" x14ac:dyDescent="0.2">
      <c r="B80" s="30" t="s">
        <v>53</v>
      </c>
      <c r="D80" s="85">
        <v>60000</v>
      </c>
      <c r="E80" s="85">
        <v>53206.06</v>
      </c>
      <c r="F80" s="148">
        <f t="shared" si="42"/>
        <v>6793.9400000000023</v>
      </c>
      <c r="G80" s="85">
        <v>51600</v>
      </c>
      <c r="H80" s="85">
        <v>56229</v>
      </c>
      <c r="I80" s="148">
        <f t="shared" si="43"/>
        <v>-4629</v>
      </c>
      <c r="J80" s="85">
        <v>56976</v>
      </c>
      <c r="K80" s="184">
        <f t="shared" si="44"/>
        <v>-5376</v>
      </c>
      <c r="L80" s="85">
        <v>57287.62</v>
      </c>
      <c r="M80" s="85">
        <v>48562.329999999987</v>
      </c>
      <c r="N80" s="85">
        <v>56043.369999999995</v>
      </c>
      <c r="O80" s="85">
        <v>55517</v>
      </c>
      <c r="P80" s="85">
        <v>61471</v>
      </c>
      <c r="Q80" s="85">
        <v>56415</v>
      </c>
      <c r="R80" s="31">
        <v>67504</v>
      </c>
      <c r="S80" s="26">
        <v>76812.56</v>
      </c>
      <c r="T80" s="31"/>
      <c r="U80" s="32"/>
      <c r="V80" s="32"/>
      <c r="W80" s="18"/>
      <c r="X80" s="26">
        <f t="shared" si="45"/>
        <v>-4629</v>
      </c>
      <c r="Y80" s="27">
        <f t="shared" si="46"/>
        <v>-8.2324067651923391E-2</v>
      </c>
      <c r="Z80" s="18"/>
      <c r="AD80" s="21"/>
    </row>
    <row r="81" spans="2:30" ht="12.2" customHeight="1" x14ac:dyDescent="0.2">
      <c r="B81" s="30" t="s">
        <v>54</v>
      </c>
      <c r="D81" s="85">
        <v>38026.26</v>
      </c>
      <c r="E81" s="85">
        <v>33579.17</v>
      </c>
      <c r="F81" s="148">
        <f t="shared" si="42"/>
        <v>4447.0900000000038</v>
      </c>
      <c r="G81" s="85">
        <v>42000</v>
      </c>
      <c r="H81" s="85">
        <v>23020</v>
      </c>
      <c r="I81" s="148">
        <f t="shared" si="43"/>
        <v>18980</v>
      </c>
      <c r="J81" s="85">
        <v>34030</v>
      </c>
      <c r="K81" s="184">
        <f t="shared" si="44"/>
        <v>7970</v>
      </c>
      <c r="L81" s="85">
        <v>32081.68</v>
      </c>
      <c r="M81" s="85">
        <v>34073.25</v>
      </c>
      <c r="N81" s="85">
        <v>37544.800000000003</v>
      </c>
      <c r="O81" s="85">
        <v>42187.5</v>
      </c>
      <c r="P81" s="85">
        <v>43312</v>
      </c>
      <c r="Q81" s="85">
        <v>42608</v>
      </c>
      <c r="R81" s="31">
        <v>44525</v>
      </c>
      <c r="S81" s="26">
        <v>48082.27</v>
      </c>
      <c r="T81" s="31"/>
      <c r="U81" s="32"/>
      <c r="V81" s="32"/>
      <c r="W81" s="18"/>
      <c r="X81" s="26">
        <f t="shared" si="45"/>
        <v>18980</v>
      </c>
      <c r="Y81" s="27">
        <f t="shared" si="46"/>
        <v>0.82450043440486531</v>
      </c>
      <c r="Z81" s="18"/>
      <c r="AD81" s="21"/>
    </row>
    <row r="82" spans="2:30" ht="12.2" customHeight="1" x14ac:dyDescent="0.2">
      <c r="B82" s="33"/>
      <c r="D82" s="87"/>
      <c r="E82" s="87"/>
      <c r="F82" s="155">
        <f t="shared" si="42"/>
        <v>0</v>
      </c>
      <c r="G82" s="87"/>
      <c r="H82" s="87"/>
      <c r="I82" s="155">
        <f t="shared" si="43"/>
        <v>0</v>
      </c>
      <c r="J82" s="87"/>
      <c r="K82" s="179"/>
      <c r="L82" s="87"/>
      <c r="M82" s="87"/>
      <c r="N82" s="87"/>
      <c r="O82" s="87"/>
      <c r="P82" s="87"/>
      <c r="Q82" s="87"/>
      <c r="R82" s="34"/>
      <c r="S82" s="35"/>
      <c r="T82" s="34"/>
      <c r="U82" s="88"/>
      <c r="V82" s="88"/>
      <c r="W82" s="18"/>
      <c r="X82" s="26">
        <f t="shared" si="45"/>
        <v>0</v>
      </c>
      <c r="Y82" s="27"/>
      <c r="Z82" s="18"/>
      <c r="AD82" s="21"/>
    </row>
    <row r="83" spans="2:30" ht="12.2" customHeight="1" x14ac:dyDescent="0.2">
      <c r="B83" s="71" t="s">
        <v>55</v>
      </c>
      <c r="C83" s="4"/>
      <c r="D83" s="89">
        <f>SUM(D74:D82)</f>
        <v>555980.26</v>
      </c>
      <c r="E83" s="89">
        <f>SUM(E74:E82)</f>
        <v>493066.48999999993</v>
      </c>
      <c r="F83" s="156">
        <f t="shared" si="42"/>
        <v>62913.770000000077</v>
      </c>
      <c r="G83" s="89">
        <f>SUM(G74:G82)</f>
        <v>516054</v>
      </c>
      <c r="H83" s="89">
        <f>SUM(H74:H82)</f>
        <v>361398</v>
      </c>
      <c r="I83" s="156">
        <f t="shared" si="43"/>
        <v>154656</v>
      </c>
      <c r="J83" s="89">
        <f>SUM(J74:J82)</f>
        <v>521631</v>
      </c>
      <c r="K83" s="183">
        <f t="shared" ref="K83" si="47">+G83-J83</f>
        <v>-5577</v>
      </c>
      <c r="L83" s="89">
        <v>492042.21499999997</v>
      </c>
      <c r="M83" s="89">
        <v>492023.6399999999</v>
      </c>
      <c r="N83" s="89">
        <f>SUM(N74:N82)</f>
        <v>540342.54</v>
      </c>
      <c r="O83" s="89">
        <f>SUM(O74:O82)</f>
        <v>572672</v>
      </c>
      <c r="P83" s="89">
        <f t="shared" ref="P83:V83" si="48">SUM(P74:P82)</f>
        <v>609064</v>
      </c>
      <c r="Q83" s="89">
        <f t="shared" si="48"/>
        <v>590353</v>
      </c>
      <c r="R83" s="89">
        <f t="shared" si="48"/>
        <v>606890</v>
      </c>
      <c r="S83" s="89">
        <f t="shared" si="48"/>
        <v>664214.94000000018</v>
      </c>
      <c r="T83" s="89">
        <f t="shared" si="48"/>
        <v>654713.89</v>
      </c>
      <c r="U83" s="89">
        <f t="shared" si="48"/>
        <v>660828.88</v>
      </c>
      <c r="V83" s="89">
        <f t="shared" si="48"/>
        <v>640516.55000000005</v>
      </c>
      <c r="W83" s="25"/>
      <c r="X83" s="72">
        <f t="shared" si="45"/>
        <v>154656</v>
      </c>
      <c r="Y83" s="74">
        <f>X83/H83</f>
        <v>0.42793817342652701</v>
      </c>
      <c r="Z83" s="25"/>
      <c r="AD83" s="29"/>
    </row>
    <row r="84" spans="2:30" ht="5.0999999999999996" customHeight="1" x14ac:dyDescent="0.2">
      <c r="B84" s="48"/>
      <c r="C84" s="49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7"/>
      <c r="X84" s="76"/>
      <c r="Y84" s="76"/>
      <c r="Z84" s="77"/>
      <c r="AD84" s="59"/>
    </row>
    <row r="85" spans="2:30" x14ac:dyDescent="0.2">
      <c r="B85" s="64" t="s">
        <v>56</v>
      </c>
      <c r="C85" s="4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10"/>
      <c r="X85" s="9"/>
      <c r="Y85" s="9"/>
      <c r="Z85" s="10"/>
      <c r="AD85" s="59"/>
    </row>
    <row r="86" spans="2:30" ht="12.2" customHeight="1" x14ac:dyDescent="0.2">
      <c r="B86" s="30" t="s">
        <v>74</v>
      </c>
      <c r="D86" s="81">
        <v>8400</v>
      </c>
      <c r="E86" s="81">
        <v>9012.02</v>
      </c>
      <c r="F86" s="148">
        <f t="shared" ref="F86:F103" si="49">D86-E86</f>
        <v>-612.02000000000044</v>
      </c>
      <c r="G86" s="81">
        <v>12800</v>
      </c>
      <c r="H86" s="81">
        <v>3053</v>
      </c>
      <c r="I86" s="148">
        <f t="shared" ref="I86:I103" si="50">G86-H86</f>
        <v>9747</v>
      </c>
      <c r="J86" s="81">
        <v>9416</v>
      </c>
      <c r="K86" s="184">
        <f t="shared" ref="K86:K103" si="51">+G86-J86</f>
        <v>3384</v>
      </c>
      <c r="L86" s="81">
        <v>7392.41</v>
      </c>
      <c r="M86" s="81">
        <v>4465.1399999999994</v>
      </c>
      <c r="N86" s="81">
        <v>8329.94</v>
      </c>
      <c r="O86" s="81">
        <v>15022</v>
      </c>
      <c r="P86" s="81">
        <v>19703</v>
      </c>
      <c r="Q86" s="81">
        <v>15872</v>
      </c>
      <c r="R86" s="81">
        <v>14526</v>
      </c>
      <c r="S86" s="81">
        <v>10056.780000000001</v>
      </c>
      <c r="T86" s="81">
        <v>6746.62</v>
      </c>
      <c r="U86" s="81">
        <v>9241.7900000000009</v>
      </c>
      <c r="V86" s="81">
        <v>4847.37</v>
      </c>
      <c r="W86" s="18"/>
      <c r="X86" s="82">
        <f t="shared" ref="X86:X103" si="52">G86-H86</f>
        <v>9747</v>
      </c>
      <c r="Y86" s="84">
        <f>X86/H86</f>
        <v>3.1925974451359318</v>
      </c>
      <c r="Z86" s="18"/>
      <c r="AD86" s="21"/>
    </row>
    <row r="87" spans="2:30" ht="12.2" customHeight="1" x14ac:dyDescent="0.2">
      <c r="B87" s="30" t="s">
        <v>75</v>
      </c>
      <c r="D87" s="31">
        <v>12000</v>
      </c>
      <c r="E87" s="31">
        <v>6482.7699999999995</v>
      </c>
      <c r="F87" s="148">
        <f t="shared" si="49"/>
        <v>5517.2300000000005</v>
      </c>
      <c r="G87" s="31">
        <v>6250</v>
      </c>
      <c r="H87" s="31">
        <v>21735</v>
      </c>
      <c r="I87" s="148">
        <f t="shared" si="50"/>
        <v>-15485</v>
      </c>
      <c r="J87" s="31">
        <v>12163</v>
      </c>
      <c r="K87" s="184">
        <f t="shared" si="51"/>
        <v>-5913</v>
      </c>
      <c r="L87" s="31">
        <v>15114.82</v>
      </c>
      <c r="M87" s="31">
        <v>29024.46</v>
      </c>
      <c r="N87" s="31">
        <v>22543.45</v>
      </c>
      <c r="O87" s="31">
        <v>37202</v>
      </c>
      <c r="P87" s="31">
        <v>19455</v>
      </c>
      <c r="Q87" s="31">
        <v>18180</v>
      </c>
      <c r="R87" s="31">
        <v>31463</v>
      </c>
      <c r="S87" s="31">
        <v>38870.78</v>
      </c>
      <c r="T87" s="31">
        <v>37837.279999999999</v>
      </c>
      <c r="U87" s="31">
        <v>20505.45</v>
      </c>
      <c r="V87" s="31">
        <v>31713.23</v>
      </c>
      <c r="W87" s="18"/>
      <c r="X87" s="26">
        <f t="shared" si="52"/>
        <v>-15485</v>
      </c>
      <c r="Y87" s="27">
        <f>X87/H87</f>
        <v>-0.71244536461927765</v>
      </c>
      <c r="Z87" s="18"/>
      <c r="AD87" s="21"/>
    </row>
    <row r="88" spans="2:30" ht="12.2" customHeight="1" x14ac:dyDescent="0.2">
      <c r="B88" s="30" t="s">
        <v>76</v>
      </c>
      <c r="D88" s="31">
        <v>212500</v>
      </c>
      <c r="E88" s="31">
        <v>131870.87</v>
      </c>
      <c r="F88" s="148">
        <f t="shared" si="49"/>
        <v>80629.13</v>
      </c>
      <c r="G88" s="31">
        <v>236270.82999999996</v>
      </c>
      <c r="H88" s="31">
        <v>69872</v>
      </c>
      <c r="I88" s="148">
        <f t="shared" si="50"/>
        <v>166398.82999999996</v>
      </c>
      <c r="J88" s="31">
        <v>212722</v>
      </c>
      <c r="K88" s="184">
        <f t="shared" si="51"/>
        <v>23548.829999999958</v>
      </c>
      <c r="L88" s="31">
        <v>198990.16999999998</v>
      </c>
      <c r="M88" s="31">
        <v>291019.78999999998</v>
      </c>
      <c r="N88" s="31">
        <v>218735.72999999998</v>
      </c>
      <c r="O88" s="31">
        <v>234057</v>
      </c>
      <c r="P88" s="31">
        <v>208113</v>
      </c>
      <c r="Q88" s="31">
        <v>246990</v>
      </c>
      <c r="R88" s="31">
        <v>225000</v>
      </c>
      <c r="S88" s="31">
        <v>192726.95</v>
      </c>
      <c r="T88" s="31">
        <v>239792.1</v>
      </c>
      <c r="U88" s="31">
        <v>197713.24</v>
      </c>
      <c r="V88" s="31">
        <v>288040.08</v>
      </c>
      <c r="W88" s="18"/>
      <c r="X88" s="26">
        <f t="shared" si="52"/>
        <v>166398.82999999996</v>
      </c>
      <c r="Y88" s="27">
        <f>X88/H88</f>
        <v>2.3814808506984195</v>
      </c>
      <c r="Z88" s="18"/>
      <c r="AD88" s="21"/>
    </row>
    <row r="89" spans="2:30" ht="12.2" customHeight="1" x14ac:dyDescent="0.2">
      <c r="B89" s="30" t="s">
        <v>77</v>
      </c>
      <c r="D89" s="31">
        <v>51</v>
      </c>
      <c r="E89" s="31">
        <v>0</v>
      </c>
      <c r="F89" s="148">
        <f t="shared" si="49"/>
        <v>51</v>
      </c>
      <c r="G89" s="31"/>
      <c r="H89" s="31">
        <v>0</v>
      </c>
      <c r="I89" s="148">
        <f t="shared" si="50"/>
        <v>0</v>
      </c>
      <c r="J89" s="31">
        <v>0</v>
      </c>
      <c r="K89" s="184">
        <f t="shared" si="51"/>
        <v>0</v>
      </c>
      <c r="L89" s="31">
        <v>0.28999999999999998</v>
      </c>
      <c r="M89" s="31">
        <v>18900</v>
      </c>
      <c r="N89" s="31">
        <v>0</v>
      </c>
      <c r="O89" s="31"/>
      <c r="P89" s="31">
        <f>'[2]FC 2019'!Q116</f>
        <v>0</v>
      </c>
      <c r="Q89" s="31">
        <v>0</v>
      </c>
      <c r="R89" s="31">
        <v>750</v>
      </c>
      <c r="S89" s="31">
        <v>26527.200000000001</v>
      </c>
      <c r="T89" s="31">
        <v>0</v>
      </c>
      <c r="U89" s="31">
        <v>5186.08</v>
      </c>
      <c r="V89" s="31">
        <v>0</v>
      </c>
      <c r="W89" s="18"/>
      <c r="X89" s="26">
        <f t="shared" si="52"/>
        <v>0</v>
      </c>
      <c r="Y89" s="27">
        <f>IF(X89=0,0,X89/H89)</f>
        <v>0</v>
      </c>
      <c r="Z89" s="18"/>
      <c r="AD89" s="21"/>
    </row>
    <row r="90" spans="2:30" ht="12.2" customHeight="1" x14ac:dyDescent="0.2">
      <c r="B90" s="30" t="s">
        <v>78</v>
      </c>
      <c r="D90" s="31">
        <v>850</v>
      </c>
      <c r="E90" s="31">
        <v>85.32</v>
      </c>
      <c r="F90" s="148">
        <f t="shared" si="49"/>
        <v>764.68000000000006</v>
      </c>
      <c r="G90" s="31">
        <v>1740</v>
      </c>
      <c r="H90" s="31">
        <v>229</v>
      </c>
      <c r="I90" s="148">
        <f t="shared" si="50"/>
        <v>1511</v>
      </c>
      <c r="J90" s="31">
        <v>2891</v>
      </c>
      <c r="K90" s="184">
        <f t="shared" si="51"/>
        <v>-1151</v>
      </c>
      <c r="L90" s="31">
        <v>2108.4</v>
      </c>
      <c r="M90" s="31">
        <v>1069.1400000000001</v>
      </c>
      <c r="N90" s="31">
        <v>1381.25</v>
      </c>
      <c r="O90" s="31">
        <v>2433</v>
      </c>
      <c r="P90" s="31">
        <v>1169</v>
      </c>
      <c r="Q90" s="31">
        <v>1656</v>
      </c>
      <c r="R90" s="31">
        <v>2400</v>
      </c>
      <c r="S90" s="31">
        <v>4070.59</v>
      </c>
      <c r="T90" s="31">
        <v>7887.37</v>
      </c>
      <c r="U90" s="31">
        <v>3064.62</v>
      </c>
      <c r="V90" s="31">
        <v>2256.15</v>
      </c>
      <c r="W90" s="18"/>
      <c r="X90" s="26">
        <f t="shared" si="52"/>
        <v>1511</v>
      </c>
      <c r="Y90" s="27">
        <f>X90/H90</f>
        <v>6.5982532751091707</v>
      </c>
      <c r="Z90" s="18"/>
      <c r="AD90" s="21"/>
    </row>
    <row r="91" spans="2:30" ht="12.2" customHeight="1" x14ac:dyDescent="0.2">
      <c r="B91" s="30" t="s">
        <v>79</v>
      </c>
      <c r="D91" s="31">
        <v>8400</v>
      </c>
      <c r="E91" s="31">
        <v>6272.31</v>
      </c>
      <c r="F91" s="148">
        <f t="shared" si="49"/>
        <v>2127.6899999999996</v>
      </c>
      <c r="G91" s="31">
        <v>10500</v>
      </c>
      <c r="H91" s="31">
        <v>4434</v>
      </c>
      <c r="I91" s="148">
        <f t="shared" si="50"/>
        <v>6066</v>
      </c>
      <c r="J91" s="31">
        <v>8074</v>
      </c>
      <c r="K91" s="184">
        <f t="shared" si="51"/>
        <v>2426</v>
      </c>
      <c r="L91" s="31">
        <v>8147.9400000000005</v>
      </c>
      <c r="M91" s="31">
        <v>8267.2200000000012</v>
      </c>
      <c r="N91" s="31">
        <v>7844.71</v>
      </c>
      <c r="O91" s="31">
        <v>7230</v>
      </c>
      <c r="P91" s="31">
        <v>7599</v>
      </c>
      <c r="Q91" s="31">
        <v>16769</v>
      </c>
      <c r="R91" s="31">
        <v>12500</v>
      </c>
      <c r="S91" s="31">
        <v>3824.51</v>
      </c>
      <c r="T91" s="31">
        <v>5617.67</v>
      </c>
      <c r="U91" s="31">
        <v>5992.45</v>
      </c>
      <c r="V91" s="31">
        <v>2769.25</v>
      </c>
      <c r="W91" s="18"/>
      <c r="X91" s="26">
        <f t="shared" si="52"/>
        <v>6066</v>
      </c>
      <c r="Y91" s="27">
        <f>X91/H91</f>
        <v>1.368064952638701</v>
      </c>
      <c r="Z91" s="18"/>
      <c r="AD91" s="21"/>
    </row>
    <row r="92" spans="2:30" ht="12.2" customHeight="1" x14ac:dyDescent="0.2">
      <c r="B92" s="30" t="s">
        <v>80</v>
      </c>
      <c r="D92" s="31">
        <v>8400</v>
      </c>
      <c r="E92" s="31">
        <v>8584.42</v>
      </c>
      <c r="F92" s="148">
        <f t="shared" si="49"/>
        <v>-184.42000000000007</v>
      </c>
      <c r="G92" s="31">
        <v>8004</v>
      </c>
      <c r="H92" s="31">
        <v>3190</v>
      </c>
      <c r="I92" s="148">
        <f t="shared" si="50"/>
        <v>4814</v>
      </c>
      <c r="J92" s="31">
        <v>5189</v>
      </c>
      <c r="K92" s="184">
        <f t="shared" si="51"/>
        <v>2815</v>
      </c>
      <c r="L92" s="31">
        <v>7858.85</v>
      </c>
      <c r="M92" s="31">
        <v>7488.76</v>
      </c>
      <c r="N92" s="31">
        <v>13836.71</v>
      </c>
      <c r="O92" s="31">
        <v>6393</v>
      </c>
      <c r="P92" s="31">
        <v>9944</v>
      </c>
      <c r="Q92" s="31">
        <v>9332</v>
      </c>
      <c r="R92" s="31">
        <v>2852</v>
      </c>
      <c r="S92" s="31">
        <v>2613.35</v>
      </c>
      <c r="T92" s="31">
        <v>0</v>
      </c>
      <c r="U92" s="31">
        <v>0</v>
      </c>
      <c r="V92" s="31">
        <v>2875</v>
      </c>
      <c r="W92" s="18"/>
      <c r="X92" s="26">
        <f t="shared" si="52"/>
        <v>4814</v>
      </c>
      <c r="Y92" s="27">
        <f>X92/H92</f>
        <v>1.509090909090909</v>
      </c>
      <c r="Z92" s="18"/>
      <c r="AD92" s="21"/>
    </row>
    <row r="93" spans="2:30" ht="12.2" customHeight="1" x14ac:dyDescent="0.2">
      <c r="B93" s="30" t="s">
        <v>81</v>
      </c>
      <c r="D93" s="31">
        <v>24000</v>
      </c>
      <c r="E93" s="31">
        <v>34979.080000000009</v>
      </c>
      <c r="F93" s="148">
        <f t="shared" si="49"/>
        <v>-10979.080000000009</v>
      </c>
      <c r="G93" s="31">
        <v>18571.669999999998</v>
      </c>
      <c r="H93" s="31">
        <v>5206</v>
      </c>
      <c r="I93" s="148">
        <f t="shared" si="50"/>
        <v>13365.669999999998</v>
      </c>
      <c r="J93" s="31">
        <v>16308</v>
      </c>
      <c r="K93" s="184">
        <f t="shared" si="51"/>
        <v>2263.6699999999983</v>
      </c>
      <c r="L93" s="31">
        <v>11298.619999999999</v>
      </c>
      <c r="M93" s="31">
        <v>18975.27</v>
      </c>
      <c r="N93" s="31">
        <v>23147.17</v>
      </c>
      <c r="O93" s="31">
        <v>15507</v>
      </c>
      <c r="P93" s="31">
        <v>25059</v>
      </c>
      <c r="Q93" s="31">
        <v>20055</v>
      </c>
      <c r="R93" s="31">
        <v>26991</v>
      </c>
      <c r="S93" s="31">
        <v>17807.689999999999</v>
      </c>
      <c r="T93" s="31">
        <v>19138.04</v>
      </c>
      <c r="U93" s="31">
        <v>17312.37</v>
      </c>
      <c r="V93" s="31">
        <v>22452.92</v>
      </c>
      <c r="W93" s="18"/>
      <c r="X93" s="26">
        <f t="shared" si="52"/>
        <v>13365.669999999998</v>
      </c>
      <c r="Y93" s="27">
        <f>X93/H93</f>
        <v>2.5673588167499037</v>
      </c>
      <c r="Z93" s="18"/>
      <c r="AD93" s="21"/>
    </row>
    <row r="94" spans="2:30" ht="12.2" customHeight="1" x14ac:dyDescent="0.2">
      <c r="B94" s="30" t="s">
        <v>82</v>
      </c>
      <c r="D94" s="31">
        <v>6000</v>
      </c>
      <c r="E94" s="31">
        <v>2427.56</v>
      </c>
      <c r="F94" s="148">
        <f t="shared" si="49"/>
        <v>3572.44</v>
      </c>
      <c r="G94" s="31">
        <v>1800</v>
      </c>
      <c r="H94" s="31">
        <v>151</v>
      </c>
      <c r="I94" s="148">
        <f t="shared" si="50"/>
        <v>1649</v>
      </c>
      <c r="J94" s="31">
        <v>5672</v>
      </c>
      <c r="K94" s="184">
        <f t="shared" si="51"/>
        <v>-3872</v>
      </c>
      <c r="L94" s="31">
        <v>3620.11</v>
      </c>
      <c r="M94" s="31">
        <v>9476.11</v>
      </c>
      <c r="N94" s="31">
        <v>11212.73</v>
      </c>
      <c r="O94" s="31">
        <v>7732</v>
      </c>
      <c r="P94" s="31">
        <v>478</v>
      </c>
      <c r="Q94" s="31">
        <v>347</v>
      </c>
      <c r="R94" s="31">
        <v>6046</v>
      </c>
      <c r="S94" s="31">
        <v>3088.76</v>
      </c>
      <c r="T94" s="31">
        <v>6567.95</v>
      </c>
      <c r="U94" s="31">
        <v>2325.79</v>
      </c>
      <c r="V94" s="31">
        <v>3079.54</v>
      </c>
      <c r="W94" s="18"/>
      <c r="X94" s="26">
        <f t="shared" si="52"/>
        <v>1649</v>
      </c>
      <c r="Y94" s="27">
        <f>X94/H94</f>
        <v>10.920529801324504</v>
      </c>
      <c r="Z94" s="18"/>
      <c r="AD94" s="21"/>
    </row>
    <row r="95" spans="2:30" ht="12.2" customHeight="1" x14ac:dyDescent="0.2">
      <c r="B95" s="30" t="s">
        <v>83</v>
      </c>
      <c r="D95" s="31">
        <v>5500</v>
      </c>
      <c r="E95" s="31">
        <v>5416.24</v>
      </c>
      <c r="F95" s="148">
        <f t="shared" si="49"/>
        <v>83.760000000000218</v>
      </c>
      <c r="G95" s="31">
        <v>0</v>
      </c>
      <c r="H95" s="31">
        <v>226</v>
      </c>
      <c r="I95" s="148">
        <f t="shared" si="50"/>
        <v>-226</v>
      </c>
      <c r="J95" s="31">
        <v>0</v>
      </c>
      <c r="K95" s="184">
        <f t="shared" si="51"/>
        <v>0</v>
      </c>
      <c r="L95" s="31">
        <v>0</v>
      </c>
      <c r="M95" s="31">
        <v>0.27000000000407454</v>
      </c>
      <c r="N95" s="31">
        <v>0</v>
      </c>
      <c r="O95" s="31"/>
      <c r="P95" s="31">
        <v>0</v>
      </c>
      <c r="Q95" s="31">
        <v>0</v>
      </c>
      <c r="R95" s="31"/>
      <c r="S95" s="31"/>
      <c r="T95" s="31"/>
      <c r="U95" s="32"/>
      <c r="V95" s="32"/>
      <c r="W95" s="18"/>
      <c r="X95" s="26">
        <f t="shared" si="52"/>
        <v>-226</v>
      </c>
      <c r="Y95" s="27">
        <f>IF(H95=0,0,X95/H95)</f>
        <v>-1</v>
      </c>
      <c r="Z95" s="18"/>
      <c r="AD95" s="21"/>
    </row>
    <row r="96" spans="2:30" ht="12.2" customHeight="1" x14ac:dyDescent="0.2">
      <c r="B96" s="30" t="s">
        <v>84</v>
      </c>
      <c r="D96" s="31">
        <v>36000</v>
      </c>
      <c r="E96" s="31">
        <v>7665</v>
      </c>
      <c r="F96" s="148">
        <f t="shared" si="49"/>
        <v>28335</v>
      </c>
      <c r="G96" s="31">
        <v>11250</v>
      </c>
      <c r="H96" s="31">
        <v>3700</v>
      </c>
      <c r="I96" s="148">
        <f t="shared" si="50"/>
        <v>7550</v>
      </c>
      <c r="J96" s="31">
        <v>39600</v>
      </c>
      <c r="K96" s="184">
        <f t="shared" si="51"/>
        <v>-28350</v>
      </c>
      <c r="L96" s="31">
        <v>40116</v>
      </c>
      <c r="M96" s="31">
        <v>51938</v>
      </c>
      <c r="N96" s="31">
        <v>46094.400000000001</v>
      </c>
      <c r="O96" s="31">
        <v>48845</v>
      </c>
      <c r="P96" s="31">
        <v>41447</v>
      </c>
      <c r="Q96" s="31">
        <v>38477</v>
      </c>
      <c r="R96" s="31">
        <v>38400</v>
      </c>
      <c r="S96" s="31">
        <v>99335.44</v>
      </c>
      <c r="T96" s="31">
        <v>62796.62</v>
      </c>
      <c r="U96" s="31">
        <v>48040.2</v>
      </c>
      <c r="V96" s="31">
        <v>48076.3</v>
      </c>
      <c r="W96" s="18"/>
      <c r="X96" s="26">
        <f t="shared" si="52"/>
        <v>7550</v>
      </c>
      <c r="Y96" s="27">
        <f t="shared" ref="Y96:Y103" si="53">X96/H96</f>
        <v>2.0405405405405403</v>
      </c>
      <c r="Z96" s="18"/>
      <c r="AD96" s="21"/>
    </row>
    <row r="97" spans="2:30" ht="12.2" customHeight="1" x14ac:dyDescent="0.2">
      <c r="B97" s="30" t="s">
        <v>85</v>
      </c>
      <c r="D97" s="31">
        <v>26280</v>
      </c>
      <c r="E97" s="31">
        <v>17462</v>
      </c>
      <c r="F97" s="148">
        <f t="shared" si="49"/>
        <v>8818</v>
      </c>
      <c r="G97" s="31">
        <v>25590</v>
      </c>
      <c r="H97" s="31">
        <v>13625</v>
      </c>
      <c r="I97" s="148">
        <f t="shared" si="50"/>
        <v>11965</v>
      </c>
      <c r="J97" s="31">
        <v>26040</v>
      </c>
      <c r="K97" s="184">
        <f t="shared" si="51"/>
        <v>-450</v>
      </c>
      <c r="L97" s="31">
        <v>26271.95</v>
      </c>
      <c r="M97" s="31">
        <v>25810</v>
      </c>
      <c r="N97" s="31">
        <v>25680</v>
      </c>
      <c r="O97" s="31">
        <v>25810</v>
      </c>
      <c r="P97" s="31">
        <v>26760</v>
      </c>
      <c r="Q97" s="31">
        <v>27435</v>
      </c>
      <c r="R97" s="31">
        <v>28840</v>
      </c>
      <c r="S97" s="31">
        <v>26137.5</v>
      </c>
      <c r="T97" s="31">
        <v>28542.03</v>
      </c>
      <c r="U97" s="31">
        <v>28209.45</v>
      </c>
      <c r="V97" s="31">
        <v>22802.75</v>
      </c>
      <c r="W97" s="18"/>
      <c r="X97" s="26">
        <f t="shared" si="52"/>
        <v>11965</v>
      </c>
      <c r="Y97" s="27">
        <f t="shared" si="53"/>
        <v>0.87816513761467885</v>
      </c>
      <c r="Z97" s="18"/>
      <c r="AD97" s="21"/>
    </row>
    <row r="98" spans="2:30" ht="12.2" customHeight="1" x14ac:dyDescent="0.2">
      <c r="B98" s="30" t="s">
        <v>61</v>
      </c>
      <c r="D98" s="31">
        <v>1440</v>
      </c>
      <c r="E98" s="31">
        <v>790.07000000000016</v>
      </c>
      <c r="F98" s="148">
        <f t="shared" si="49"/>
        <v>649.92999999999984</v>
      </c>
      <c r="G98" s="31">
        <v>1270</v>
      </c>
      <c r="H98" s="31">
        <v>384</v>
      </c>
      <c r="I98" s="148">
        <f t="shared" si="50"/>
        <v>886</v>
      </c>
      <c r="J98" s="31">
        <v>1290</v>
      </c>
      <c r="K98" s="184">
        <f t="shared" si="51"/>
        <v>-20</v>
      </c>
      <c r="L98" s="31">
        <v>1119.1199999999999</v>
      </c>
      <c r="M98" s="31">
        <v>1607.89</v>
      </c>
      <c r="N98" s="31">
        <v>1302.2299999999998</v>
      </c>
      <c r="O98" s="31">
        <v>612</v>
      </c>
      <c r="P98" s="31">
        <v>1807</v>
      </c>
      <c r="Q98" s="31">
        <v>468</v>
      </c>
      <c r="R98" s="31">
        <v>393</v>
      </c>
      <c r="S98" s="31">
        <v>816.01</v>
      </c>
      <c r="T98" s="31">
        <v>1926.75</v>
      </c>
      <c r="U98" s="31">
        <v>1991.21</v>
      </c>
      <c r="V98" s="31">
        <v>2134.63</v>
      </c>
      <c r="W98" s="18"/>
      <c r="X98" s="26">
        <f t="shared" si="52"/>
        <v>886</v>
      </c>
      <c r="Y98" s="27">
        <f t="shared" si="53"/>
        <v>2.3072916666666665</v>
      </c>
      <c r="Z98" s="18"/>
      <c r="AD98" s="21"/>
    </row>
    <row r="99" spans="2:30" ht="12.2" customHeight="1" x14ac:dyDescent="0.2">
      <c r="B99" s="30" t="s">
        <v>86</v>
      </c>
      <c r="D99" s="31">
        <v>9500</v>
      </c>
      <c r="E99" s="31">
        <v>5553.0499999999993</v>
      </c>
      <c r="F99" s="148">
        <f t="shared" si="49"/>
        <v>3946.9500000000007</v>
      </c>
      <c r="G99" s="31">
        <v>15304.169999999998</v>
      </c>
      <c r="H99" s="31">
        <v>4788</v>
      </c>
      <c r="I99" s="148">
        <f t="shared" si="50"/>
        <v>10516.169999999998</v>
      </c>
      <c r="J99" s="31">
        <v>17318</v>
      </c>
      <c r="K99" s="184">
        <f t="shared" si="51"/>
        <v>-2013.8300000000017</v>
      </c>
      <c r="L99" s="31">
        <v>14516.91</v>
      </c>
      <c r="M99" s="31">
        <v>15159.41</v>
      </c>
      <c r="N99" s="31">
        <v>26433.570000000003</v>
      </c>
      <c r="O99" s="31">
        <v>16227</v>
      </c>
      <c r="P99" s="31">
        <v>15028</v>
      </c>
      <c r="Q99" s="31">
        <v>16545</v>
      </c>
      <c r="R99" s="31">
        <v>13230</v>
      </c>
      <c r="S99" s="31">
        <v>14023.18</v>
      </c>
      <c r="T99" s="31">
        <v>17828.560000000001</v>
      </c>
      <c r="U99" s="31">
        <v>8450.73</v>
      </c>
      <c r="V99" s="31">
        <v>21489.14</v>
      </c>
      <c r="W99" s="18"/>
      <c r="X99" s="26">
        <f t="shared" si="52"/>
        <v>10516.169999999998</v>
      </c>
      <c r="Y99" s="27">
        <f t="shared" si="53"/>
        <v>2.1963596491228068</v>
      </c>
      <c r="Z99" s="18"/>
      <c r="AD99" s="21"/>
    </row>
    <row r="100" spans="2:30" ht="12.2" customHeight="1" x14ac:dyDescent="0.2">
      <c r="B100" s="30" t="s">
        <v>87</v>
      </c>
      <c r="D100" s="31">
        <v>60000</v>
      </c>
      <c r="E100" s="31">
        <v>33101.449999999997</v>
      </c>
      <c r="F100" s="148">
        <f t="shared" si="49"/>
        <v>26898.550000000003</v>
      </c>
      <c r="G100" s="31">
        <v>56200</v>
      </c>
      <c r="H100" s="31">
        <v>25404</v>
      </c>
      <c r="I100" s="148">
        <f t="shared" si="50"/>
        <v>30796</v>
      </c>
      <c r="J100" s="31">
        <v>54478</v>
      </c>
      <c r="K100" s="184">
        <f t="shared" si="51"/>
        <v>1722</v>
      </c>
      <c r="L100" s="31">
        <v>65976.510000000009</v>
      </c>
      <c r="M100" s="31">
        <v>60077.369999999995</v>
      </c>
      <c r="N100" s="31">
        <v>57698.830000000009</v>
      </c>
      <c r="O100" s="31">
        <v>65953</v>
      </c>
      <c r="P100" s="31">
        <v>64108</v>
      </c>
      <c r="Q100" s="31">
        <v>56568</v>
      </c>
      <c r="R100" s="31">
        <v>52550</v>
      </c>
      <c r="S100" s="31">
        <v>45112.85</v>
      </c>
      <c r="T100" s="31">
        <v>29506.7</v>
      </c>
      <c r="U100" s="31">
        <v>68755.87</v>
      </c>
      <c r="V100" s="31">
        <v>39611.35</v>
      </c>
      <c r="W100" s="18"/>
      <c r="X100" s="26">
        <f t="shared" si="52"/>
        <v>30796</v>
      </c>
      <c r="Y100" s="27">
        <f t="shared" si="53"/>
        <v>1.2122500393638798</v>
      </c>
      <c r="Z100" s="18"/>
      <c r="AD100" s="21"/>
    </row>
    <row r="101" spans="2:30" ht="12.2" customHeight="1" x14ac:dyDescent="0.2">
      <c r="B101" s="30" t="s">
        <v>64</v>
      </c>
      <c r="D101" s="31">
        <v>4500</v>
      </c>
      <c r="E101" s="31">
        <v>4627.53</v>
      </c>
      <c r="F101" s="148">
        <f t="shared" si="49"/>
        <v>-127.52999999999975</v>
      </c>
      <c r="G101" s="31">
        <v>2350</v>
      </c>
      <c r="H101" s="31">
        <v>7420</v>
      </c>
      <c r="I101" s="148">
        <f t="shared" si="50"/>
        <v>-5070</v>
      </c>
      <c r="J101" s="31">
        <v>2585</v>
      </c>
      <c r="K101" s="184">
        <f t="shared" si="51"/>
        <v>-235</v>
      </c>
      <c r="L101" s="31">
        <v>4880</v>
      </c>
      <c r="M101" s="31">
        <v>8260</v>
      </c>
      <c r="N101" s="31">
        <v>8180</v>
      </c>
      <c r="O101" s="31">
        <v>9890</v>
      </c>
      <c r="P101" s="31">
        <v>8296</v>
      </c>
      <c r="Q101" s="31">
        <v>12542</v>
      </c>
      <c r="R101" s="31">
        <v>39085</v>
      </c>
      <c r="S101" s="31">
        <v>35407.379999999997</v>
      </c>
      <c r="T101" s="31">
        <v>13455.29</v>
      </c>
      <c r="U101" s="31">
        <v>10306.43</v>
      </c>
      <c r="V101" s="31">
        <v>17643.86</v>
      </c>
      <c r="W101" s="18"/>
      <c r="X101" s="26">
        <f t="shared" si="52"/>
        <v>-5070</v>
      </c>
      <c r="Y101" s="27">
        <f t="shared" si="53"/>
        <v>-0.68328840970350402</v>
      </c>
      <c r="Z101" s="18"/>
      <c r="AD101" s="21"/>
    </row>
    <row r="102" spans="2:30" ht="12.2" customHeight="1" x14ac:dyDescent="0.2">
      <c r="B102" s="33" t="s">
        <v>88</v>
      </c>
      <c r="D102" s="34">
        <v>191000.01999999996</v>
      </c>
      <c r="E102" s="34">
        <v>150312.97</v>
      </c>
      <c r="F102" s="150">
        <f t="shared" si="49"/>
        <v>40687.049999999959</v>
      </c>
      <c r="G102" s="34">
        <v>175166.66999999998</v>
      </c>
      <c r="H102" s="34">
        <v>119993</v>
      </c>
      <c r="I102" s="150">
        <f t="shared" si="50"/>
        <v>55173.669999999984</v>
      </c>
      <c r="J102" s="34">
        <v>164613</v>
      </c>
      <c r="K102" s="184">
        <f t="shared" si="51"/>
        <v>10553.669999999984</v>
      </c>
      <c r="L102" s="34">
        <v>159481.22</v>
      </c>
      <c r="M102" s="34">
        <v>102343.38</v>
      </c>
      <c r="N102" s="34">
        <v>103465.54</v>
      </c>
      <c r="O102" s="34">
        <v>107913</v>
      </c>
      <c r="P102" s="34">
        <v>116446</v>
      </c>
      <c r="Q102" s="34">
        <v>111929</v>
      </c>
      <c r="R102" s="34">
        <v>145865</v>
      </c>
      <c r="S102" s="34">
        <v>116906.57</v>
      </c>
      <c r="T102" s="34">
        <v>95505.09</v>
      </c>
      <c r="U102" s="34">
        <v>112408.33</v>
      </c>
      <c r="V102" s="34">
        <v>133969.76</v>
      </c>
      <c r="W102" s="18"/>
      <c r="X102" s="26">
        <f t="shared" si="52"/>
        <v>55173.669999999984</v>
      </c>
      <c r="Y102" s="27">
        <f t="shared" si="53"/>
        <v>0.4598074054319834</v>
      </c>
      <c r="Z102" s="18"/>
      <c r="AD102" s="21"/>
    </row>
    <row r="103" spans="2:30" ht="12.2" customHeight="1" x14ac:dyDescent="0.2">
      <c r="B103" s="71" t="s">
        <v>67</v>
      </c>
      <c r="C103" s="4"/>
      <c r="D103" s="92">
        <f>SUM(D86:D102)</f>
        <v>614821.02</v>
      </c>
      <c r="E103" s="92">
        <f>SUM(E86:E102)</f>
        <v>424642.66000000003</v>
      </c>
      <c r="F103" s="159">
        <f t="shared" si="49"/>
        <v>190178.36</v>
      </c>
      <c r="G103" s="92">
        <f>SUM(G86:G102)</f>
        <v>583067.33999999985</v>
      </c>
      <c r="H103" s="92">
        <f>SUM(H86:H102)</f>
        <v>283410</v>
      </c>
      <c r="I103" s="159">
        <f t="shared" si="50"/>
        <v>299657.33999999985</v>
      </c>
      <c r="J103" s="92">
        <f>SUM(J86:J102)</f>
        <v>578359</v>
      </c>
      <c r="K103" s="183">
        <f t="shared" si="51"/>
        <v>4708.339999999851</v>
      </c>
      <c r="L103" s="92">
        <v>566893.31999999995</v>
      </c>
      <c r="M103" s="92">
        <v>653882.21000000008</v>
      </c>
      <c r="N103" s="92">
        <f>SUM(N86:N102)</f>
        <v>575886.26</v>
      </c>
      <c r="O103" s="92">
        <f>SUM(O86:O102)</f>
        <v>600826</v>
      </c>
      <c r="P103" s="92">
        <f t="shared" ref="P103:V103" si="54">SUM(P86:P102)</f>
        <v>565412</v>
      </c>
      <c r="Q103" s="92">
        <f t="shared" si="54"/>
        <v>593165</v>
      </c>
      <c r="R103" s="92">
        <f t="shared" si="54"/>
        <v>640891</v>
      </c>
      <c r="S103" s="45">
        <f t="shared" si="54"/>
        <v>637325.54</v>
      </c>
      <c r="T103" s="89">
        <f t="shared" si="54"/>
        <v>573148.06999999995</v>
      </c>
      <c r="U103" s="73">
        <f t="shared" si="54"/>
        <v>539504.01</v>
      </c>
      <c r="V103" s="73">
        <f t="shared" si="54"/>
        <v>643761.32999999996</v>
      </c>
      <c r="W103" s="93"/>
      <c r="X103" s="72">
        <f t="shared" si="52"/>
        <v>299657.33999999985</v>
      </c>
      <c r="Y103" s="74">
        <f t="shared" si="53"/>
        <v>1.0573280406478243</v>
      </c>
      <c r="Z103" s="93"/>
      <c r="AD103" s="29"/>
    </row>
    <row r="104" spans="2:30" ht="5.0999999999999996" customHeight="1" x14ac:dyDescent="0.2">
      <c r="B104" s="48"/>
      <c r="C104" s="49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7"/>
      <c r="X104" s="76"/>
      <c r="Y104" s="76"/>
      <c r="Z104" s="77"/>
      <c r="AD104" s="59"/>
    </row>
    <row r="105" spans="2:30" x14ac:dyDescent="0.2">
      <c r="B105" s="64" t="s">
        <v>68</v>
      </c>
      <c r="C105" s="4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10"/>
      <c r="X105" s="9"/>
      <c r="Y105" s="9"/>
      <c r="Z105" s="10"/>
      <c r="AD105" s="59"/>
    </row>
    <row r="106" spans="2:30" ht="12.2" customHeight="1" x14ac:dyDescent="0.2">
      <c r="B106" s="104" t="s">
        <v>69</v>
      </c>
      <c r="C106" s="61"/>
      <c r="D106" s="97">
        <f>D83+D103</f>
        <v>1170801.28</v>
      </c>
      <c r="E106" s="97">
        <f>E83+E103</f>
        <v>917709.14999999991</v>
      </c>
      <c r="F106" s="159">
        <f t="shared" ref="F106" si="55">D106-E106</f>
        <v>253092.13000000012</v>
      </c>
      <c r="G106" s="97">
        <f>G83+G103</f>
        <v>1099121.3399999999</v>
      </c>
      <c r="H106" s="97">
        <f>H83+H103</f>
        <v>644808</v>
      </c>
      <c r="I106" s="159">
        <f t="shared" ref="I106" si="56">G106-H106</f>
        <v>454313.33999999985</v>
      </c>
      <c r="J106" s="97">
        <f>J83+J103</f>
        <v>1099990</v>
      </c>
      <c r="K106" s="183">
        <f t="shared" ref="K106" si="57">+G106-J106</f>
        <v>-868.66000000014901</v>
      </c>
      <c r="L106" s="97">
        <v>1058935.5349999999</v>
      </c>
      <c r="M106" s="97">
        <v>1145905.8500000001</v>
      </c>
      <c r="N106" s="97">
        <f>N83+N103</f>
        <v>1116228.8</v>
      </c>
      <c r="O106" s="97">
        <f t="shared" ref="O106:V106" si="58">O83+O103</f>
        <v>1173498</v>
      </c>
      <c r="P106" s="97">
        <f t="shared" si="58"/>
        <v>1174476</v>
      </c>
      <c r="Q106" s="97">
        <f t="shared" si="58"/>
        <v>1183518</v>
      </c>
      <c r="R106" s="97">
        <f t="shared" si="58"/>
        <v>1247781</v>
      </c>
      <c r="S106" s="45">
        <f t="shared" si="58"/>
        <v>1301540.4800000002</v>
      </c>
      <c r="T106" s="99">
        <f t="shared" si="58"/>
        <v>1227861.96</v>
      </c>
      <c r="U106" s="99">
        <f t="shared" si="58"/>
        <v>1200332.8900000001</v>
      </c>
      <c r="V106" s="99">
        <f t="shared" si="58"/>
        <v>1284277.8799999999</v>
      </c>
      <c r="W106" s="105"/>
      <c r="X106" s="72">
        <f>G106-H106</f>
        <v>454313.33999999985</v>
      </c>
      <c r="Y106" s="74">
        <f>X106/H106</f>
        <v>0.70457150035359339</v>
      </c>
      <c r="Z106" s="105"/>
      <c r="AD106" s="29"/>
    </row>
    <row r="107" spans="2:30" x14ac:dyDescent="0.2">
      <c r="B107" s="48"/>
      <c r="C107" s="49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7"/>
      <c r="X107" s="76"/>
      <c r="Y107" s="76"/>
      <c r="Z107" s="77"/>
      <c r="AD107" s="59"/>
    </row>
    <row r="108" spans="2:30" x14ac:dyDescent="0.2">
      <c r="B108" s="60" t="s">
        <v>89</v>
      </c>
      <c r="C108" s="6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2"/>
      <c r="T108" s="101"/>
      <c r="U108" s="101"/>
      <c r="V108" s="101"/>
      <c r="W108" s="101"/>
      <c r="X108" s="101"/>
      <c r="Y108" s="101"/>
      <c r="Z108" s="10"/>
      <c r="AD108" s="59"/>
    </row>
    <row r="109" spans="2:30" ht="5.0999999999999996" customHeight="1" x14ac:dyDescent="0.2">
      <c r="B109" s="48"/>
      <c r="C109" s="49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77"/>
      <c r="X109" s="103"/>
      <c r="Y109" s="103"/>
      <c r="Z109" s="77"/>
      <c r="AA109" s="1"/>
      <c r="AB109" s="1"/>
      <c r="AC109" s="1"/>
      <c r="AD109" s="59"/>
    </row>
    <row r="110" spans="2:30" x14ac:dyDescent="0.2">
      <c r="B110" s="64" t="s">
        <v>48</v>
      </c>
      <c r="C110" s="4"/>
      <c r="D110" s="14" t="str">
        <f>D3</f>
        <v>BUDGET 2022</v>
      </c>
      <c r="E110" s="14" t="str">
        <f>E3</f>
        <v>ACT 2021</v>
      </c>
      <c r="F110" s="147" t="s">
        <v>111</v>
      </c>
      <c r="G110" s="14" t="str">
        <f>G3</f>
        <v>BUDGET 2021</v>
      </c>
      <c r="H110" s="14" t="str">
        <f>H3</f>
        <v>ACTUAL 2020</v>
      </c>
      <c r="I110" s="147" t="s">
        <v>111</v>
      </c>
      <c r="J110" s="14" t="str">
        <f>J3</f>
        <v>ACTUAL 2019</v>
      </c>
      <c r="K110" s="185" t="str">
        <f>+K73</f>
        <v>B 2021 vs A2019</v>
      </c>
      <c r="L110" s="14" t="s">
        <v>3</v>
      </c>
      <c r="M110" s="14" t="s">
        <v>4</v>
      </c>
      <c r="N110" s="14" t="str">
        <f>N73</f>
        <v>ACTUAL 2016</v>
      </c>
      <c r="O110" s="14" t="str">
        <f>O3</f>
        <v>ACTUAL 2015</v>
      </c>
      <c r="P110" s="14" t="str">
        <f t="shared" ref="P110:V110" si="59">P73</f>
        <v>ACTUAL 2014</v>
      </c>
      <c r="Q110" s="14" t="str">
        <f t="shared" si="59"/>
        <v>ACTUAL 2013</v>
      </c>
      <c r="R110" s="14" t="str">
        <f t="shared" si="59"/>
        <v>ACTUAL 2012</v>
      </c>
      <c r="S110" s="14" t="str">
        <f t="shared" si="59"/>
        <v>ACTUAL 2011</v>
      </c>
      <c r="T110" s="14" t="str">
        <f t="shared" si="59"/>
        <v>ACTUAL 2010</v>
      </c>
      <c r="U110" s="14" t="str">
        <f t="shared" si="59"/>
        <v>ACTUAL 2009</v>
      </c>
      <c r="V110" s="14" t="str">
        <f t="shared" si="59"/>
        <v>ACTUAL 2008</v>
      </c>
      <c r="W110" s="10"/>
      <c r="X110" s="682" t="str">
        <f>X73</f>
        <v>Var Bud-21 Actual-20</v>
      </c>
      <c r="Y110" s="683"/>
      <c r="Z110" s="10"/>
      <c r="AD110" s="59"/>
    </row>
    <row r="111" spans="2:30" ht="12.2" customHeight="1" x14ac:dyDescent="0.2">
      <c r="B111" s="79" t="s">
        <v>19</v>
      </c>
      <c r="D111" s="80">
        <v>200500</v>
      </c>
      <c r="E111" s="80">
        <v>186520</v>
      </c>
      <c r="F111" s="148">
        <f t="shared" ref="F111:F119" si="60">D111-E111</f>
        <v>13980</v>
      </c>
      <c r="G111" s="80">
        <v>177000</v>
      </c>
      <c r="H111" s="80">
        <v>104799</v>
      </c>
      <c r="I111" s="148">
        <f t="shared" ref="I111:I119" si="61">G111-H111</f>
        <v>72201</v>
      </c>
      <c r="J111" s="80">
        <v>188108</v>
      </c>
      <c r="K111" s="186">
        <f t="shared" ref="K111:K117" si="62">+G111-J111</f>
        <v>-11108</v>
      </c>
      <c r="L111" s="80">
        <v>162483</v>
      </c>
      <c r="M111" s="80">
        <v>143321.07999999999</v>
      </c>
      <c r="N111" s="80">
        <v>149687.25999999998</v>
      </c>
      <c r="O111" s="80">
        <v>159140</v>
      </c>
      <c r="P111" s="68">
        <v>180114</v>
      </c>
      <c r="Q111" s="80">
        <v>154152</v>
      </c>
      <c r="R111" s="81">
        <v>142020</v>
      </c>
      <c r="S111" s="82">
        <v>147960.07999999999</v>
      </c>
      <c r="T111" s="82">
        <v>144955.07</v>
      </c>
      <c r="U111" s="68">
        <v>130210.39</v>
      </c>
      <c r="V111" s="81">
        <v>149225.32</v>
      </c>
      <c r="W111" s="18"/>
      <c r="X111" s="26">
        <f t="shared" ref="X111:X117" si="63">G111-H111</f>
        <v>72201</v>
      </c>
      <c r="Y111" s="27">
        <f>X111/H111</f>
        <v>0.68894741362035894</v>
      </c>
      <c r="Z111" s="18"/>
      <c r="AD111" s="21"/>
    </row>
    <row r="112" spans="2:30" ht="12.2" customHeight="1" x14ac:dyDescent="0.2">
      <c r="B112" s="30" t="s">
        <v>50</v>
      </c>
      <c r="D112" s="85">
        <v>15874.5</v>
      </c>
      <c r="E112" s="85">
        <v>14926</v>
      </c>
      <c r="F112" s="148">
        <f t="shared" si="60"/>
        <v>948.5</v>
      </c>
      <c r="G112" s="85">
        <v>15874.5</v>
      </c>
      <c r="H112" s="85">
        <v>10846</v>
      </c>
      <c r="I112" s="148">
        <f t="shared" si="61"/>
        <v>5028.5</v>
      </c>
      <c r="J112" s="85">
        <v>15786</v>
      </c>
      <c r="K112" s="184">
        <f t="shared" si="62"/>
        <v>88.5</v>
      </c>
      <c r="L112" s="85">
        <v>12102.710000000001</v>
      </c>
      <c r="M112" s="85">
        <v>11127.87</v>
      </c>
      <c r="N112" s="85">
        <v>17326.34</v>
      </c>
      <c r="O112" s="85">
        <v>18228</v>
      </c>
      <c r="P112" s="86">
        <v>16966</v>
      </c>
      <c r="Q112" s="85">
        <v>20276</v>
      </c>
      <c r="R112" s="31">
        <v>18896</v>
      </c>
      <c r="S112" s="26">
        <v>17468.599999999999</v>
      </c>
      <c r="T112" s="26">
        <v>11936.050000000003</v>
      </c>
      <c r="U112" s="86">
        <v>10724.279999999999</v>
      </c>
      <c r="V112" s="31">
        <v>10866.69</v>
      </c>
      <c r="W112" s="18"/>
      <c r="X112" s="26">
        <f t="shared" si="63"/>
        <v>5028.5</v>
      </c>
      <c r="Y112" s="27">
        <f>X112/H112</f>
        <v>0.46362714364742763</v>
      </c>
      <c r="Z112" s="18"/>
      <c r="AD112" s="21"/>
    </row>
    <row r="113" spans="2:30" ht="12.2" customHeight="1" x14ac:dyDescent="0.2">
      <c r="B113" s="30" t="s">
        <v>73</v>
      </c>
      <c r="D113" s="85">
        <v>13560</v>
      </c>
      <c r="E113" s="85">
        <v>11964</v>
      </c>
      <c r="F113" s="148">
        <f t="shared" si="60"/>
        <v>1596</v>
      </c>
      <c r="G113" s="85">
        <v>13390</v>
      </c>
      <c r="H113" s="85">
        <v>8513</v>
      </c>
      <c r="I113" s="148">
        <f t="shared" si="61"/>
        <v>4877</v>
      </c>
      <c r="J113" s="85">
        <v>11197</v>
      </c>
      <c r="K113" s="184">
        <f t="shared" si="62"/>
        <v>2193</v>
      </c>
      <c r="L113" s="85">
        <v>12385.11</v>
      </c>
      <c r="M113" s="85">
        <v>11449.1</v>
      </c>
      <c r="N113" s="85">
        <v>10909.88</v>
      </c>
      <c r="O113" s="85">
        <v>10045</v>
      </c>
      <c r="P113" s="86">
        <v>11379</v>
      </c>
      <c r="Q113" s="85">
        <v>10001</v>
      </c>
      <c r="R113" s="31">
        <v>11551</v>
      </c>
      <c r="S113" s="26">
        <v>11162.13</v>
      </c>
      <c r="T113" s="26">
        <v>10315.780000000001</v>
      </c>
      <c r="U113" s="86">
        <v>8125.03</v>
      </c>
      <c r="V113" s="31">
        <v>13305.71</v>
      </c>
      <c r="W113" s="18"/>
      <c r="X113" s="26">
        <f t="shared" si="63"/>
        <v>4877</v>
      </c>
      <c r="Y113" s="27">
        <f>X113/H113</f>
        <v>0.57288852343474683</v>
      </c>
      <c r="Z113" s="18"/>
      <c r="AD113" s="21"/>
    </row>
    <row r="114" spans="2:30" ht="12.2" hidden="1" customHeight="1" x14ac:dyDescent="0.2">
      <c r="B114" s="30" t="s">
        <v>52</v>
      </c>
      <c r="D114" s="85"/>
      <c r="E114" s="85"/>
      <c r="F114" s="148">
        <f t="shared" si="60"/>
        <v>0</v>
      </c>
      <c r="G114" s="85"/>
      <c r="H114" s="85"/>
      <c r="I114" s="148">
        <f t="shared" si="61"/>
        <v>0</v>
      </c>
      <c r="J114" s="85"/>
      <c r="K114" s="184">
        <f t="shared" si="62"/>
        <v>0</v>
      </c>
      <c r="L114" s="85"/>
      <c r="M114" s="85"/>
      <c r="N114" s="85"/>
      <c r="O114" s="85"/>
      <c r="P114" s="86"/>
      <c r="Q114" s="85"/>
      <c r="R114" s="31"/>
      <c r="S114" s="26"/>
      <c r="T114" s="26"/>
      <c r="U114" s="86"/>
      <c r="V114" s="31"/>
      <c r="W114" s="18"/>
      <c r="X114" s="26">
        <f t="shared" si="63"/>
        <v>0</v>
      </c>
      <c r="Y114" s="27"/>
      <c r="Z114" s="18"/>
      <c r="AD114" s="21"/>
    </row>
    <row r="115" spans="2:30" ht="12.2" customHeight="1" x14ac:dyDescent="0.2">
      <c r="B115" s="30" t="s">
        <v>53</v>
      </c>
      <c r="D115" s="85">
        <v>21600</v>
      </c>
      <c r="E115" s="85">
        <v>21220</v>
      </c>
      <c r="F115" s="148">
        <f t="shared" si="60"/>
        <v>380</v>
      </c>
      <c r="G115" s="85">
        <v>21000</v>
      </c>
      <c r="H115" s="85">
        <v>25541</v>
      </c>
      <c r="I115" s="148">
        <f t="shared" si="61"/>
        <v>-4541</v>
      </c>
      <c r="J115" s="85">
        <v>28790</v>
      </c>
      <c r="K115" s="184">
        <f t="shared" si="62"/>
        <v>-7790</v>
      </c>
      <c r="L115" s="85">
        <v>52125.950000000004</v>
      </c>
      <c r="M115" s="85">
        <v>54098.44000000001</v>
      </c>
      <c r="N115" s="85">
        <v>47983.96</v>
      </c>
      <c r="O115" s="85">
        <v>60012</v>
      </c>
      <c r="P115" s="86">
        <v>60088</v>
      </c>
      <c r="Q115" s="85">
        <v>65625</v>
      </c>
      <c r="R115" s="31">
        <v>60574</v>
      </c>
      <c r="S115" s="26">
        <v>78216.210000000006</v>
      </c>
      <c r="T115" s="26">
        <v>101220.01000000002</v>
      </c>
      <c r="U115" s="86">
        <v>102481.39000000001</v>
      </c>
      <c r="V115" s="31">
        <v>100367.01999999999</v>
      </c>
      <c r="W115" s="18"/>
      <c r="X115" s="26">
        <f t="shared" si="63"/>
        <v>-4541</v>
      </c>
      <c r="Y115" s="27">
        <f>X115/H115</f>
        <v>-0.17779256881093145</v>
      </c>
      <c r="Z115" s="18"/>
      <c r="AD115" s="21"/>
    </row>
    <row r="116" spans="2:30" ht="12.2" customHeight="1" x14ac:dyDescent="0.2">
      <c r="B116" s="30" t="s">
        <v>54</v>
      </c>
      <c r="D116" s="85">
        <v>22055</v>
      </c>
      <c r="E116" s="85">
        <v>18527</v>
      </c>
      <c r="F116" s="148">
        <f t="shared" si="60"/>
        <v>3528</v>
      </c>
      <c r="G116" s="85">
        <v>20600.000000000004</v>
      </c>
      <c r="H116" s="85">
        <v>11520</v>
      </c>
      <c r="I116" s="148">
        <f t="shared" si="61"/>
        <v>9080.0000000000036</v>
      </c>
      <c r="J116" s="85">
        <v>18252</v>
      </c>
      <c r="K116" s="184">
        <f t="shared" si="62"/>
        <v>2348.0000000000036</v>
      </c>
      <c r="L116" s="85">
        <v>15443.75</v>
      </c>
      <c r="M116" s="85">
        <v>15164.26</v>
      </c>
      <c r="N116" s="85">
        <v>16484.310000000001</v>
      </c>
      <c r="O116" s="85">
        <v>17048.5</v>
      </c>
      <c r="P116" s="86">
        <v>17788</v>
      </c>
      <c r="Q116" s="85">
        <v>16045</v>
      </c>
      <c r="R116" s="31">
        <v>16373</v>
      </c>
      <c r="S116" s="26">
        <v>15331.58</v>
      </c>
      <c r="T116" s="26">
        <v>15388.05</v>
      </c>
      <c r="U116" s="86">
        <v>6184.17</v>
      </c>
      <c r="V116" s="31">
        <v>0</v>
      </c>
      <c r="W116" s="18"/>
      <c r="X116" s="26">
        <f t="shared" si="63"/>
        <v>9080.0000000000036</v>
      </c>
      <c r="Y116" s="27">
        <f>X116/H116</f>
        <v>0.78819444444444475</v>
      </c>
      <c r="Z116" s="18"/>
      <c r="AD116" s="21"/>
    </row>
    <row r="117" spans="2:30" ht="12.2" customHeight="1" x14ac:dyDescent="0.2">
      <c r="B117" s="30" t="s">
        <v>90</v>
      </c>
      <c r="D117" s="85">
        <v>-136794.75</v>
      </c>
      <c r="E117" s="85">
        <v>-126579</v>
      </c>
      <c r="F117" s="148">
        <f t="shared" si="60"/>
        <v>-10215.75</v>
      </c>
      <c r="G117" s="85">
        <v>-123933.60000000002</v>
      </c>
      <c r="H117" s="85">
        <v>-80125</v>
      </c>
      <c r="I117" s="148">
        <f t="shared" si="61"/>
        <v>-43808.60000000002</v>
      </c>
      <c r="J117" s="85">
        <v>-131108</v>
      </c>
      <c r="K117" s="184">
        <f t="shared" si="62"/>
        <v>7174.3999999999796</v>
      </c>
      <c r="L117" s="85">
        <v>-127269.74</v>
      </c>
      <c r="M117" s="85">
        <v>-117581.69</v>
      </c>
      <c r="N117" s="85">
        <v>-121196</v>
      </c>
      <c r="O117" s="85">
        <v>-132238</v>
      </c>
      <c r="P117" s="86">
        <v>-143168</v>
      </c>
      <c r="Q117" s="85">
        <v>-133048</v>
      </c>
      <c r="R117" s="31">
        <v>0</v>
      </c>
      <c r="S117" s="26"/>
      <c r="T117" s="26"/>
      <c r="U117" s="32"/>
      <c r="V117" s="106"/>
      <c r="W117" s="18"/>
      <c r="X117" s="26">
        <f t="shared" si="63"/>
        <v>-43808.60000000002</v>
      </c>
      <c r="Y117" s="27">
        <f>X117/H117</f>
        <v>0.54675319812792533</v>
      </c>
      <c r="Z117" s="18"/>
      <c r="AD117" s="21"/>
    </row>
    <row r="118" spans="2:30" ht="12.2" customHeight="1" x14ac:dyDescent="0.2">
      <c r="B118" s="22"/>
      <c r="C118" s="4"/>
      <c r="D118" s="85"/>
      <c r="E118" s="85"/>
      <c r="F118" s="155">
        <f t="shared" si="60"/>
        <v>0</v>
      </c>
      <c r="G118" s="85"/>
      <c r="H118" s="85"/>
      <c r="I118" s="155">
        <f t="shared" si="61"/>
        <v>0</v>
      </c>
      <c r="J118" s="85"/>
      <c r="K118" s="184"/>
      <c r="L118" s="85"/>
      <c r="M118" s="85"/>
      <c r="N118" s="85"/>
      <c r="O118" s="85"/>
      <c r="P118" s="85"/>
      <c r="Q118" s="85"/>
      <c r="R118" s="40"/>
      <c r="S118" s="26"/>
      <c r="T118" s="31"/>
      <c r="U118" s="32"/>
      <c r="V118" s="32"/>
      <c r="W118" s="18"/>
      <c r="X118" s="26"/>
      <c r="Y118" s="27"/>
      <c r="Z118" s="18"/>
      <c r="AD118" s="21"/>
    </row>
    <row r="119" spans="2:30" ht="12" customHeight="1" x14ac:dyDescent="0.2">
      <c r="B119" s="43" t="s">
        <v>55</v>
      </c>
      <c r="C119" s="4"/>
      <c r="D119" s="44">
        <f>SUM(D111:D118)</f>
        <v>136794.75</v>
      </c>
      <c r="E119" s="44">
        <f>SUM(E111:E118)</f>
        <v>126578</v>
      </c>
      <c r="F119" s="156">
        <f t="shared" si="60"/>
        <v>10216.75</v>
      </c>
      <c r="G119" s="44">
        <f>SUM(G111:G118)</f>
        <v>123930.89999999998</v>
      </c>
      <c r="H119" s="44">
        <f>SUM(H111:H118)</f>
        <v>81094</v>
      </c>
      <c r="I119" s="156">
        <f t="shared" si="61"/>
        <v>42836.89999999998</v>
      </c>
      <c r="J119" s="44">
        <f>SUM(J111:J118)</f>
        <v>131025</v>
      </c>
      <c r="K119" s="183">
        <f t="shared" ref="K119" si="64">+G119-J119</f>
        <v>-7094.1000000000204</v>
      </c>
      <c r="L119" s="44">
        <v>127270.78000000001</v>
      </c>
      <c r="M119" s="44">
        <v>117579.06</v>
      </c>
      <c r="N119" s="44">
        <f>SUM(N111:N118)</f>
        <v>121195.74999999997</v>
      </c>
      <c r="O119" s="44">
        <f>SUM(O111:O117)</f>
        <v>132235.5</v>
      </c>
      <c r="P119" s="44">
        <f t="shared" ref="P119:V119" si="65">SUM(P111:P118)</f>
        <v>143167</v>
      </c>
      <c r="Q119" s="44">
        <f t="shared" si="65"/>
        <v>133051</v>
      </c>
      <c r="R119" s="44">
        <f t="shared" si="65"/>
        <v>249414</v>
      </c>
      <c r="S119" s="44">
        <f t="shared" si="65"/>
        <v>270138.60000000003</v>
      </c>
      <c r="T119" s="44">
        <f t="shared" si="65"/>
        <v>283814.96000000002</v>
      </c>
      <c r="U119" s="44">
        <f t="shared" si="65"/>
        <v>257725.26</v>
      </c>
      <c r="V119" s="44">
        <f t="shared" si="65"/>
        <v>273764.74</v>
      </c>
      <c r="W119" s="25"/>
      <c r="X119" s="72">
        <f>G119-H119</f>
        <v>42836.89999999998</v>
      </c>
      <c r="Y119" s="74">
        <f>X119/H119</f>
        <v>0.52823760080893756</v>
      </c>
      <c r="Z119" s="25"/>
      <c r="AD119" s="29"/>
    </row>
    <row r="120" spans="2:30" ht="12" customHeight="1" x14ac:dyDescent="0.2">
      <c r="B120" s="48"/>
      <c r="C120" s="49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7"/>
      <c r="X120" s="76"/>
      <c r="Y120" s="76"/>
      <c r="Z120" s="77"/>
      <c r="AD120" s="59"/>
    </row>
    <row r="121" spans="2:30" ht="12" customHeight="1" x14ac:dyDescent="0.2">
      <c r="B121" s="64" t="s">
        <v>56</v>
      </c>
      <c r="C121" s="4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10"/>
      <c r="X121" s="78"/>
      <c r="Y121" s="78"/>
      <c r="Z121" s="10"/>
      <c r="AD121" s="59"/>
    </row>
    <row r="122" spans="2:30" s="3" customFormat="1" ht="12" customHeight="1" x14ac:dyDescent="0.2">
      <c r="B122" s="79" t="s">
        <v>91</v>
      </c>
      <c r="D122" s="161">
        <v>72500</v>
      </c>
      <c r="E122" s="107">
        <v>26296.329999999998</v>
      </c>
      <c r="F122" s="148">
        <f t="shared" ref="F122:F133" si="66">D122-E122</f>
        <v>46203.67</v>
      </c>
      <c r="G122" s="161">
        <v>70500</v>
      </c>
      <c r="H122" s="107">
        <v>11599</v>
      </c>
      <c r="I122" s="148">
        <f t="shared" ref="I122:I133" si="67">G122-H122</f>
        <v>58901</v>
      </c>
      <c r="J122" s="107">
        <v>70334</v>
      </c>
      <c r="K122" s="184">
        <f t="shared" ref="K122:K133" si="68">+G122-J122</f>
        <v>166</v>
      </c>
      <c r="L122" s="107">
        <v>83452.66</v>
      </c>
      <c r="M122" s="107">
        <v>90841.45</v>
      </c>
      <c r="N122" s="107">
        <v>99089.95</v>
      </c>
      <c r="O122" s="107">
        <v>79271</v>
      </c>
      <c r="P122" s="107">
        <v>72448</v>
      </c>
      <c r="Q122" s="107">
        <v>45835</v>
      </c>
      <c r="R122" s="107">
        <v>26513</v>
      </c>
      <c r="S122" s="108">
        <v>46049.74</v>
      </c>
      <c r="T122" s="107">
        <v>37188.300000000003</v>
      </c>
      <c r="U122" s="108">
        <v>37682.720000000001</v>
      </c>
      <c r="V122" s="107">
        <v>39791.65</v>
      </c>
      <c r="W122" s="18"/>
      <c r="X122" s="26">
        <f t="shared" ref="X122:X133" si="69">G122-H122</f>
        <v>58901</v>
      </c>
      <c r="Y122" s="27">
        <f t="shared" ref="Y122:Y133" si="70">X122/H122</f>
        <v>5.0781101819122334</v>
      </c>
      <c r="Z122" s="10"/>
      <c r="AA122" s="6"/>
      <c r="AB122" s="6"/>
      <c r="AC122" s="6"/>
      <c r="AD122" s="58"/>
    </row>
    <row r="123" spans="2:30" s="3" customFormat="1" ht="12" customHeight="1" x14ac:dyDescent="0.2">
      <c r="B123" s="30" t="s">
        <v>110</v>
      </c>
      <c r="D123" s="162">
        <v>2400</v>
      </c>
      <c r="E123" s="37">
        <v>0</v>
      </c>
      <c r="F123" s="148">
        <f t="shared" si="66"/>
        <v>2400</v>
      </c>
      <c r="G123" s="162">
        <v>2200</v>
      </c>
      <c r="H123" s="37">
        <v>2783</v>
      </c>
      <c r="I123" s="148">
        <f t="shared" si="67"/>
        <v>-583</v>
      </c>
      <c r="J123" s="37">
        <v>2398</v>
      </c>
      <c r="K123" s="184">
        <f t="shared" si="68"/>
        <v>-198</v>
      </c>
      <c r="L123" s="37">
        <v>493.19</v>
      </c>
      <c r="M123" s="37">
        <v>6225.58</v>
      </c>
      <c r="N123" s="37">
        <v>3120.1000000000004</v>
      </c>
      <c r="O123" s="37">
        <v>5035</v>
      </c>
      <c r="P123" s="37">
        <v>2341</v>
      </c>
      <c r="Q123" s="37">
        <v>12783</v>
      </c>
      <c r="R123" s="37">
        <v>5322</v>
      </c>
      <c r="S123" s="110">
        <v>10012.950000000001</v>
      </c>
      <c r="T123" s="37">
        <v>26539.31</v>
      </c>
      <c r="U123" s="110">
        <v>26146.77</v>
      </c>
      <c r="V123" s="37">
        <v>2463.4</v>
      </c>
      <c r="W123" s="18"/>
      <c r="X123" s="26">
        <f t="shared" si="69"/>
        <v>-583</v>
      </c>
      <c r="Y123" s="27">
        <f t="shared" si="70"/>
        <v>-0.20948616600790515</v>
      </c>
      <c r="Z123" s="10"/>
      <c r="AA123" s="6"/>
      <c r="AB123" s="6"/>
      <c r="AC123" s="6"/>
      <c r="AD123" s="58"/>
    </row>
    <row r="124" spans="2:30" s="3" customFormat="1" ht="12" customHeight="1" x14ac:dyDescent="0.2">
      <c r="B124" s="30" t="s">
        <v>92</v>
      </c>
      <c r="D124" s="162">
        <v>22500</v>
      </c>
      <c r="E124" s="37">
        <v>3272.86</v>
      </c>
      <c r="F124" s="148">
        <f t="shared" si="66"/>
        <v>19227.14</v>
      </c>
      <c r="G124" s="162">
        <v>15166.63</v>
      </c>
      <c r="H124" s="37">
        <v>3333</v>
      </c>
      <c r="I124" s="148">
        <f t="shared" si="67"/>
        <v>11833.63</v>
      </c>
      <c r="J124" s="37">
        <v>19244</v>
      </c>
      <c r="K124" s="184">
        <f t="shared" si="68"/>
        <v>-4077.3700000000008</v>
      </c>
      <c r="L124" s="37">
        <v>10271.73</v>
      </c>
      <c r="M124" s="37">
        <v>11872.689999999999</v>
      </c>
      <c r="N124" s="37">
        <v>9034.51</v>
      </c>
      <c r="O124" s="37">
        <v>11897</v>
      </c>
      <c r="P124" s="37">
        <v>10771</v>
      </c>
      <c r="Q124" s="37">
        <v>6654</v>
      </c>
      <c r="R124" s="37">
        <v>12019</v>
      </c>
      <c r="S124" s="110">
        <v>5921.3</v>
      </c>
      <c r="T124" s="37">
        <v>5322.45</v>
      </c>
      <c r="U124" s="110">
        <v>6354.3</v>
      </c>
      <c r="V124" s="37">
        <v>8389.64</v>
      </c>
      <c r="W124" s="18"/>
      <c r="X124" s="26">
        <f t="shared" si="69"/>
        <v>11833.63</v>
      </c>
      <c r="Y124" s="27">
        <f t="shared" si="70"/>
        <v>3.5504440444044403</v>
      </c>
      <c r="Z124" s="10"/>
      <c r="AA124" s="6"/>
      <c r="AB124" s="6"/>
      <c r="AC124" s="6"/>
      <c r="AD124" s="58"/>
    </row>
    <row r="125" spans="2:30" s="3" customFormat="1" ht="12.75" customHeight="1" x14ac:dyDescent="0.2">
      <c r="B125" s="30" t="s">
        <v>61</v>
      </c>
      <c r="D125" s="162">
        <v>1800</v>
      </c>
      <c r="E125" s="37">
        <v>2368.2599999999993</v>
      </c>
      <c r="F125" s="148">
        <f t="shared" si="66"/>
        <v>-568.25999999999931</v>
      </c>
      <c r="G125" s="162">
        <v>600</v>
      </c>
      <c r="H125" s="37">
        <v>403</v>
      </c>
      <c r="I125" s="148">
        <f t="shared" si="67"/>
        <v>197</v>
      </c>
      <c r="J125" s="37">
        <v>222</v>
      </c>
      <c r="K125" s="184">
        <f t="shared" si="68"/>
        <v>378</v>
      </c>
      <c r="L125" s="37">
        <v>649.46</v>
      </c>
      <c r="M125" s="37">
        <v>305.75</v>
      </c>
      <c r="N125" s="37">
        <v>334.5</v>
      </c>
      <c r="O125" s="37">
        <v>374</v>
      </c>
      <c r="P125" s="37">
        <v>571</v>
      </c>
      <c r="Q125" s="37">
        <v>379</v>
      </c>
      <c r="R125" s="37">
        <v>174</v>
      </c>
      <c r="S125" s="110">
        <v>141.41999999999999</v>
      </c>
      <c r="T125" s="37">
        <v>536.08000000000004</v>
      </c>
      <c r="U125" s="110">
        <v>0</v>
      </c>
      <c r="V125" s="37">
        <v>878.76</v>
      </c>
      <c r="W125" s="18"/>
      <c r="X125" s="26">
        <f t="shared" si="69"/>
        <v>197</v>
      </c>
      <c r="Y125" s="27">
        <f t="shared" si="70"/>
        <v>0.48883374689826303</v>
      </c>
      <c r="Z125" s="10"/>
      <c r="AA125" s="6"/>
      <c r="AB125" s="6"/>
      <c r="AC125" s="6"/>
      <c r="AD125" s="58"/>
    </row>
    <row r="126" spans="2:30" s="3" customFormat="1" ht="12" customHeight="1" x14ac:dyDescent="0.2">
      <c r="B126" s="111" t="s">
        <v>79</v>
      </c>
      <c r="D126" s="162">
        <v>12600</v>
      </c>
      <c r="E126" s="112">
        <v>0</v>
      </c>
      <c r="F126" s="148">
        <f t="shared" si="66"/>
        <v>12600</v>
      </c>
      <c r="G126" s="162">
        <v>12000</v>
      </c>
      <c r="H126" s="112">
        <v>4658</v>
      </c>
      <c r="I126" s="148">
        <f t="shared" si="67"/>
        <v>7342</v>
      </c>
      <c r="J126" s="37">
        <v>13711</v>
      </c>
      <c r="K126" s="184">
        <f t="shared" si="68"/>
        <v>-1711</v>
      </c>
      <c r="L126" s="37">
        <v>2670.4700000000003</v>
      </c>
      <c r="M126" s="37">
        <v>6049.3200000000006</v>
      </c>
      <c r="N126" s="37">
        <v>10092.040000000001</v>
      </c>
      <c r="O126" s="37">
        <v>8571</v>
      </c>
      <c r="P126" s="37">
        <v>6270</v>
      </c>
      <c r="Q126" s="112">
        <v>3460</v>
      </c>
      <c r="R126" s="112"/>
      <c r="S126" s="113"/>
      <c r="T126" s="112"/>
      <c r="U126" s="113"/>
      <c r="V126" s="112"/>
      <c r="W126" s="114"/>
      <c r="X126" s="26">
        <f t="shared" si="69"/>
        <v>7342</v>
      </c>
      <c r="Y126" s="27">
        <f t="shared" si="70"/>
        <v>1.5762129669386002</v>
      </c>
      <c r="Z126" s="114"/>
      <c r="AA126" s="6"/>
      <c r="AB126" s="6"/>
      <c r="AC126" s="6"/>
      <c r="AD126" s="115"/>
    </row>
    <row r="127" spans="2:30" ht="12.2" customHeight="1" x14ac:dyDescent="0.2">
      <c r="B127" s="30" t="s">
        <v>93</v>
      </c>
      <c r="C127" s="1"/>
      <c r="D127" s="162">
        <v>335000</v>
      </c>
      <c r="E127" s="116">
        <v>317687.77324644401</v>
      </c>
      <c r="F127" s="148">
        <f t="shared" si="66"/>
        <v>17312.226753555995</v>
      </c>
      <c r="G127" s="162">
        <v>271740</v>
      </c>
      <c r="H127" s="116">
        <v>164886</v>
      </c>
      <c r="I127" s="148">
        <f t="shared" si="67"/>
        <v>106854</v>
      </c>
      <c r="J127" s="37">
        <v>339426</v>
      </c>
      <c r="K127" s="184">
        <f t="shared" si="68"/>
        <v>-67686</v>
      </c>
      <c r="L127" s="37">
        <v>364085.83</v>
      </c>
      <c r="M127" s="37">
        <v>305614.80000000005</v>
      </c>
      <c r="N127" s="37">
        <v>276497.02</v>
      </c>
      <c r="O127" s="37">
        <v>253409</v>
      </c>
      <c r="P127" s="37">
        <v>245114</v>
      </c>
      <c r="Q127" s="116">
        <v>256210</v>
      </c>
      <c r="R127" s="116">
        <v>156713</v>
      </c>
      <c r="S127" s="117"/>
      <c r="T127" s="116"/>
      <c r="U127" s="117"/>
      <c r="V127" s="116"/>
      <c r="W127" s="1"/>
      <c r="X127" s="26">
        <f t="shared" si="69"/>
        <v>106854</v>
      </c>
      <c r="Y127" s="27">
        <f t="shared" si="70"/>
        <v>0.64804774207634364</v>
      </c>
      <c r="Z127" s="18"/>
      <c r="AD127" s="21"/>
    </row>
    <row r="128" spans="2:30" ht="12.2" customHeight="1" x14ac:dyDescent="0.2">
      <c r="B128" s="30" t="s">
        <v>94</v>
      </c>
      <c r="D128" s="162">
        <v>1200</v>
      </c>
      <c r="E128" s="37">
        <v>6085.5300000000007</v>
      </c>
      <c r="F128" s="148">
        <f t="shared" si="66"/>
        <v>-4885.5300000000007</v>
      </c>
      <c r="G128" s="162">
        <v>0</v>
      </c>
      <c r="H128" s="37">
        <v>0</v>
      </c>
      <c r="I128" s="148">
        <f t="shared" si="67"/>
        <v>0</v>
      </c>
      <c r="J128" s="37">
        <v>0</v>
      </c>
      <c r="K128" s="184">
        <f t="shared" si="68"/>
        <v>0</v>
      </c>
      <c r="L128" s="37">
        <v>0</v>
      </c>
      <c r="M128" s="37">
        <v>0</v>
      </c>
      <c r="N128" s="37">
        <v>0</v>
      </c>
      <c r="O128" s="37"/>
      <c r="P128" s="37">
        <v>0</v>
      </c>
      <c r="Q128" s="37">
        <v>0</v>
      </c>
      <c r="R128" s="37">
        <v>6901</v>
      </c>
      <c r="S128" s="110">
        <v>1279.94</v>
      </c>
      <c r="T128" s="37">
        <v>0</v>
      </c>
      <c r="U128" s="110">
        <v>1400</v>
      </c>
      <c r="V128" s="37">
        <v>504.11</v>
      </c>
      <c r="W128" s="18"/>
      <c r="X128" s="26">
        <f t="shared" si="69"/>
        <v>0</v>
      </c>
      <c r="Y128" s="27" t="e">
        <f t="shared" si="70"/>
        <v>#DIV/0!</v>
      </c>
      <c r="Z128" s="18"/>
      <c r="AD128" s="21"/>
    </row>
    <row r="129" spans="2:30" ht="12.2" customHeight="1" x14ac:dyDescent="0.2">
      <c r="B129" s="30" t="s">
        <v>90</v>
      </c>
      <c r="C129" s="1"/>
      <c r="D129" s="162">
        <v>-224000</v>
      </c>
      <c r="E129" s="116">
        <v>-179139.06</v>
      </c>
      <c r="F129" s="148">
        <f t="shared" si="66"/>
        <v>-44860.94</v>
      </c>
      <c r="G129" s="162">
        <v>-186104.40000000002</v>
      </c>
      <c r="H129" s="116">
        <v>-98562</v>
      </c>
      <c r="I129" s="148">
        <f t="shared" si="67"/>
        <v>-87542.400000000023</v>
      </c>
      <c r="J129" s="37">
        <v>-222667</v>
      </c>
      <c r="K129" s="184">
        <f t="shared" si="68"/>
        <v>36562.599999999977</v>
      </c>
      <c r="L129" s="37">
        <v>-234652.98499999999</v>
      </c>
      <c r="M129" s="37">
        <v>-210455.80000000002</v>
      </c>
      <c r="N129" s="37">
        <v>-199085.54000000004</v>
      </c>
      <c r="O129" s="37">
        <v>-179204</v>
      </c>
      <c r="P129" s="37">
        <v>-168563</v>
      </c>
      <c r="Q129" s="116">
        <v>-168947</v>
      </c>
      <c r="R129" s="116">
        <v>-147392</v>
      </c>
      <c r="S129" s="117"/>
      <c r="T129" s="116"/>
      <c r="U129" s="117"/>
      <c r="V129" s="116"/>
      <c r="W129" s="1"/>
      <c r="X129" s="26">
        <f t="shared" si="69"/>
        <v>-87542.400000000023</v>
      </c>
      <c r="Y129" s="27">
        <f t="shared" si="70"/>
        <v>0.8881962622511721</v>
      </c>
      <c r="Z129" s="18"/>
      <c r="AD129" s="21"/>
    </row>
    <row r="130" spans="2:30" ht="12.2" customHeight="1" x14ac:dyDescent="0.2">
      <c r="B130" s="30" t="s">
        <v>95</v>
      </c>
      <c r="D130" s="162">
        <v>57000</v>
      </c>
      <c r="E130" s="37">
        <v>55780.185420000002</v>
      </c>
      <c r="F130" s="148">
        <f t="shared" si="66"/>
        <v>1219.8145799999984</v>
      </c>
      <c r="G130" s="162">
        <v>40150</v>
      </c>
      <c r="H130" s="37">
        <v>45775</v>
      </c>
      <c r="I130" s="148">
        <f t="shared" si="67"/>
        <v>-5625</v>
      </c>
      <c r="J130" s="37">
        <v>43500</v>
      </c>
      <c r="K130" s="184">
        <f t="shared" si="68"/>
        <v>-3350</v>
      </c>
      <c r="L130" s="37">
        <v>44350</v>
      </c>
      <c r="M130" s="37">
        <v>44280</v>
      </c>
      <c r="N130" s="37">
        <v>42380</v>
      </c>
      <c r="O130" s="37">
        <v>48534</v>
      </c>
      <c r="P130" s="37">
        <v>45516</v>
      </c>
      <c r="Q130" s="37">
        <v>25250</v>
      </c>
      <c r="R130" s="37">
        <v>40282</v>
      </c>
      <c r="S130" s="110">
        <v>34740.26</v>
      </c>
      <c r="T130" s="37">
        <v>40393.64</v>
      </c>
      <c r="U130" s="110">
        <v>34433.040000000001</v>
      </c>
      <c r="V130" s="37">
        <v>27714.43</v>
      </c>
      <c r="W130" s="18"/>
      <c r="X130" s="26">
        <f t="shared" si="69"/>
        <v>-5625</v>
      </c>
      <c r="Y130" s="27">
        <f t="shared" si="70"/>
        <v>-0.12288367012561442</v>
      </c>
      <c r="Z130" s="18"/>
      <c r="AD130" s="21"/>
    </row>
    <row r="131" spans="2:30" ht="12.2" customHeight="1" x14ac:dyDescent="0.2">
      <c r="B131" s="30" t="s">
        <v>96</v>
      </c>
      <c r="D131" s="109">
        <v>7200</v>
      </c>
      <c r="E131" s="37">
        <v>530.4</v>
      </c>
      <c r="F131" s="148">
        <f t="shared" si="66"/>
        <v>6669.6</v>
      </c>
      <c r="G131" s="109">
        <v>9500.0399999999991</v>
      </c>
      <c r="H131" s="37">
        <v>7998</v>
      </c>
      <c r="I131" s="148">
        <f t="shared" si="67"/>
        <v>1502.0399999999991</v>
      </c>
      <c r="J131" s="37">
        <v>7132</v>
      </c>
      <c r="K131" s="184">
        <f t="shared" si="68"/>
        <v>2368.0399999999991</v>
      </c>
      <c r="L131" s="37">
        <v>1680</v>
      </c>
      <c r="M131" s="37">
        <v>9156.130000000001</v>
      </c>
      <c r="N131" s="37">
        <v>9756.61</v>
      </c>
      <c r="O131" s="37">
        <v>8479.5</v>
      </c>
      <c r="P131" s="37">
        <v>4889</v>
      </c>
      <c r="Q131" s="37">
        <v>4784</v>
      </c>
      <c r="R131" s="37">
        <v>6169</v>
      </c>
      <c r="S131" s="110">
        <v>7630.48</v>
      </c>
      <c r="T131" s="37">
        <v>8750.84</v>
      </c>
      <c r="U131" s="110">
        <v>2858.5</v>
      </c>
      <c r="V131" s="37">
        <v>5525.08</v>
      </c>
      <c r="W131" s="18"/>
      <c r="X131" s="26">
        <f t="shared" si="69"/>
        <v>1502.0399999999991</v>
      </c>
      <c r="Y131" s="27">
        <f t="shared" si="70"/>
        <v>0.1878019504876218</v>
      </c>
      <c r="Z131" s="18"/>
      <c r="AD131" s="21"/>
    </row>
    <row r="132" spans="2:30" ht="12.2" customHeight="1" x14ac:dyDescent="0.2">
      <c r="B132" s="33" t="s">
        <v>97</v>
      </c>
      <c r="D132" s="118">
        <v>6100</v>
      </c>
      <c r="E132" s="38">
        <v>5404.85</v>
      </c>
      <c r="F132" s="150">
        <f t="shared" si="66"/>
        <v>695.14999999999964</v>
      </c>
      <c r="G132" s="118">
        <v>3788.3700000000008</v>
      </c>
      <c r="H132" s="38">
        <v>0</v>
      </c>
      <c r="I132" s="150">
        <f t="shared" si="67"/>
        <v>3788.3700000000008</v>
      </c>
      <c r="J132" s="38">
        <v>5168</v>
      </c>
      <c r="K132" s="184">
        <f t="shared" si="68"/>
        <v>-1379.6299999999992</v>
      </c>
      <c r="L132" s="38">
        <v>3162.5299999999997</v>
      </c>
      <c r="M132" s="38">
        <v>975.01</v>
      </c>
      <c r="N132" s="38">
        <v>5936.18</v>
      </c>
      <c r="O132" s="38">
        <v>1607.5</v>
      </c>
      <c r="P132" s="38">
        <v>3474</v>
      </c>
      <c r="Q132" s="38">
        <v>1652</v>
      </c>
      <c r="R132" s="38">
        <v>6230</v>
      </c>
      <c r="S132" s="119">
        <v>2532.75</v>
      </c>
      <c r="T132" s="38">
        <v>5442.29</v>
      </c>
      <c r="U132" s="119">
        <v>5431.2</v>
      </c>
      <c r="V132" s="38">
        <v>7292.52</v>
      </c>
      <c r="W132" s="18"/>
      <c r="X132" s="26">
        <f t="shared" si="69"/>
        <v>3788.3700000000008</v>
      </c>
      <c r="Y132" s="27" t="e">
        <f t="shared" si="70"/>
        <v>#DIV/0!</v>
      </c>
      <c r="Z132" s="18"/>
      <c r="AD132" s="21"/>
    </row>
    <row r="133" spans="2:30" ht="12.2" customHeight="1" x14ac:dyDescent="0.2">
      <c r="B133" s="71" t="s">
        <v>67</v>
      </c>
      <c r="C133" s="4"/>
      <c r="D133" s="45">
        <f>SUM(D122:D132)</f>
        <v>294300</v>
      </c>
      <c r="E133" s="45">
        <f>SUM(E122:E132)</f>
        <v>238287.12866644404</v>
      </c>
      <c r="F133" s="160">
        <f t="shared" si="66"/>
        <v>56012.871333555959</v>
      </c>
      <c r="G133" s="45">
        <f>SUM(G122:G132)</f>
        <v>239540.63999999998</v>
      </c>
      <c r="H133" s="45">
        <f>SUM(H122:H132)</f>
        <v>142873</v>
      </c>
      <c r="I133" s="160">
        <f t="shared" si="67"/>
        <v>96667.639999999985</v>
      </c>
      <c r="J133" s="45">
        <f>SUM(J122:J132)</f>
        <v>278468</v>
      </c>
      <c r="K133" s="183">
        <f t="shared" si="68"/>
        <v>-38927.360000000015</v>
      </c>
      <c r="L133" s="45">
        <v>276162.88500000007</v>
      </c>
      <c r="M133" s="45">
        <v>264864.93000000005</v>
      </c>
      <c r="N133" s="45">
        <f>SUM(N122:N132)</f>
        <v>257155.36999999994</v>
      </c>
      <c r="O133" s="45">
        <f>SUM(O122:O132)</f>
        <v>237974</v>
      </c>
      <c r="P133" s="45">
        <f>SUM(P122:P132)</f>
        <v>222831</v>
      </c>
      <c r="Q133" s="45">
        <f t="shared" ref="Q133:V133" si="71">SUM(Q122:Q132)</f>
        <v>188060</v>
      </c>
      <c r="R133" s="45">
        <f t="shared" si="71"/>
        <v>112931</v>
      </c>
      <c r="S133" s="45">
        <f t="shared" si="71"/>
        <v>108308.84000000001</v>
      </c>
      <c r="T133" s="45">
        <f t="shared" si="71"/>
        <v>124172.90999999999</v>
      </c>
      <c r="U133" s="45">
        <f t="shared" si="71"/>
        <v>114306.53000000001</v>
      </c>
      <c r="V133" s="45">
        <f t="shared" si="71"/>
        <v>92559.590000000011</v>
      </c>
      <c r="W133" s="25"/>
      <c r="X133" s="72">
        <f t="shared" si="69"/>
        <v>96667.639999999985</v>
      </c>
      <c r="Y133" s="74">
        <f t="shared" si="70"/>
        <v>0.67659837758008845</v>
      </c>
      <c r="Z133" s="25"/>
      <c r="AD133" s="29"/>
    </row>
    <row r="134" spans="2:30" ht="5.0999999999999996" customHeight="1" x14ac:dyDescent="0.2">
      <c r="B134" s="48"/>
      <c r="C134" s="49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8"/>
      <c r="X134" s="57"/>
      <c r="Y134" s="57"/>
      <c r="Z134" s="58"/>
      <c r="AD134" s="59"/>
    </row>
    <row r="135" spans="2:30" x14ac:dyDescent="0.2">
      <c r="B135" s="64" t="s">
        <v>68</v>
      </c>
      <c r="C135" s="4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66"/>
      <c r="X135" s="120"/>
      <c r="Y135" s="120"/>
      <c r="Z135" s="66"/>
      <c r="AD135" s="59"/>
    </row>
    <row r="136" spans="2:30" ht="12.2" customHeight="1" x14ac:dyDescent="0.2">
      <c r="B136" s="104" t="s">
        <v>69</v>
      </c>
      <c r="C136" s="61"/>
      <c r="D136" s="97">
        <f>D119+D133</f>
        <v>431094.75</v>
      </c>
      <c r="E136" s="97">
        <f>E119+E133</f>
        <v>364865.12866644404</v>
      </c>
      <c r="F136" s="160">
        <f t="shared" ref="F136" si="72">D136-E136</f>
        <v>66229.621333555959</v>
      </c>
      <c r="G136" s="97">
        <f>G119+G133</f>
        <v>363471.54</v>
      </c>
      <c r="H136" s="97">
        <f>H119+H133</f>
        <v>223967</v>
      </c>
      <c r="I136" s="160">
        <f t="shared" ref="I136" si="73">G136-H136</f>
        <v>139504.53999999998</v>
      </c>
      <c r="J136" s="97">
        <f>J119+J133</f>
        <v>409493</v>
      </c>
      <c r="K136" s="183">
        <f t="shared" ref="K136" si="74">+G136-J136</f>
        <v>-46021.460000000021</v>
      </c>
      <c r="L136" s="97">
        <v>403433.6650000001</v>
      </c>
      <c r="M136" s="97">
        <v>382443.99000000005</v>
      </c>
      <c r="N136" s="97">
        <f>N119+N133</f>
        <v>378351.11999999988</v>
      </c>
      <c r="O136" s="97">
        <f t="shared" ref="O136:V136" si="75">O119+O133</f>
        <v>370209.5</v>
      </c>
      <c r="P136" s="97">
        <f t="shared" si="75"/>
        <v>365998</v>
      </c>
      <c r="Q136" s="97">
        <f t="shared" si="75"/>
        <v>321111</v>
      </c>
      <c r="R136" s="97">
        <f t="shared" si="75"/>
        <v>362345</v>
      </c>
      <c r="S136" s="45">
        <f t="shared" si="75"/>
        <v>378447.44000000006</v>
      </c>
      <c r="T136" s="55">
        <f t="shared" si="75"/>
        <v>407987.87</v>
      </c>
      <c r="U136" s="99">
        <f t="shared" si="75"/>
        <v>372031.79000000004</v>
      </c>
      <c r="V136" s="99">
        <f t="shared" si="75"/>
        <v>366324.33</v>
      </c>
      <c r="W136" s="121"/>
      <c r="X136" s="72">
        <f>H136-J136</f>
        <v>-185526</v>
      </c>
      <c r="Y136" s="74">
        <f>X136/H136</f>
        <v>-0.82836310706488014</v>
      </c>
      <c r="Z136" s="121"/>
      <c r="AD136" s="29"/>
    </row>
    <row r="137" spans="2:30" ht="12.2" customHeight="1" x14ac:dyDescent="0.2">
      <c r="B137" s="2"/>
      <c r="C137" s="4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93"/>
      <c r="X137" s="100"/>
      <c r="Y137" s="100"/>
      <c r="Z137" s="93"/>
      <c r="AD137" s="29"/>
    </row>
    <row r="138" spans="2:30" x14ac:dyDescent="0.2">
      <c r="B138" s="48"/>
      <c r="C138" s="49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7"/>
      <c r="X138" s="76"/>
      <c r="Y138" s="76"/>
      <c r="Z138" s="77"/>
      <c r="AD138" s="59"/>
    </row>
    <row r="139" spans="2:30" x14ac:dyDescent="0.2">
      <c r="B139" s="60" t="s">
        <v>98</v>
      </c>
      <c r="C139" s="6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2"/>
      <c r="T139" s="101"/>
      <c r="U139" s="101"/>
      <c r="V139" s="101"/>
      <c r="W139" s="101"/>
      <c r="X139" s="101"/>
      <c r="Y139" s="101"/>
      <c r="Z139" s="10"/>
      <c r="AD139" s="59"/>
    </row>
    <row r="140" spans="2:30" ht="5.0999999999999996" customHeight="1" x14ac:dyDescent="0.2">
      <c r="B140" s="48"/>
      <c r="C140" s="49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77"/>
      <c r="X140" s="103"/>
      <c r="Y140" s="103"/>
      <c r="Z140" s="77"/>
      <c r="AA140" s="1"/>
      <c r="AB140" s="1"/>
      <c r="AC140" s="1"/>
      <c r="AD140" s="59"/>
    </row>
    <row r="141" spans="2:30" x14ac:dyDescent="0.2">
      <c r="B141" s="64" t="s">
        <v>48</v>
      </c>
      <c r="C141" s="4"/>
      <c r="D141" s="14" t="str">
        <f>D3</f>
        <v>BUDGET 2022</v>
      </c>
      <c r="E141" s="14" t="str">
        <f>E3</f>
        <v>ACT 2021</v>
      </c>
      <c r="F141" s="147" t="s">
        <v>111</v>
      </c>
      <c r="G141" s="14" t="str">
        <f>G3</f>
        <v>BUDGET 2021</v>
      </c>
      <c r="H141" s="14" t="str">
        <f>H3</f>
        <v>ACTUAL 2020</v>
      </c>
      <c r="I141" s="147" t="s">
        <v>111</v>
      </c>
      <c r="J141" s="14" t="str">
        <f>J3</f>
        <v>ACTUAL 2019</v>
      </c>
      <c r="K141" s="185" t="str">
        <f>+K110</f>
        <v>B 2021 vs A2019</v>
      </c>
      <c r="L141" s="14" t="s">
        <v>3</v>
      </c>
      <c r="M141" s="14" t="s">
        <v>4</v>
      </c>
      <c r="N141" s="14" t="str">
        <f>N110</f>
        <v>ACTUAL 2016</v>
      </c>
      <c r="O141" s="14" t="str">
        <f>O3</f>
        <v>ACTUAL 2015</v>
      </c>
      <c r="P141" s="14" t="str">
        <f t="shared" ref="P141:V141" si="76">P110</f>
        <v>ACTUAL 2014</v>
      </c>
      <c r="Q141" s="14" t="str">
        <f t="shared" si="76"/>
        <v>ACTUAL 2013</v>
      </c>
      <c r="R141" s="14" t="str">
        <f t="shared" si="76"/>
        <v>ACTUAL 2012</v>
      </c>
      <c r="S141" s="14" t="str">
        <f t="shared" si="76"/>
        <v>ACTUAL 2011</v>
      </c>
      <c r="T141" s="14" t="str">
        <f t="shared" si="76"/>
        <v>ACTUAL 2010</v>
      </c>
      <c r="U141" s="14" t="str">
        <f t="shared" si="76"/>
        <v>ACTUAL 2009</v>
      </c>
      <c r="V141" s="14" t="str">
        <f t="shared" si="76"/>
        <v>ACTUAL 2008</v>
      </c>
      <c r="W141" s="10"/>
      <c r="X141" s="682" t="str">
        <f>X110</f>
        <v>Var Bud-21 Actual-20</v>
      </c>
      <c r="Y141" s="683"/>
      <c r="Z141" s="10"/>
      <c r="AD141" s="59"/>
    </row>
    <row r="142" spans="2:30" ht="12.2" hidden="1" customHeight="1" x14ac:dyDescent="0.2">
      <c r="B142" s="122" t="s">
        <v>99</v>
      </c>
      <c r="D142" s="123"/>
      <c r="E142" s="123"/>
      <c r="F142" s="123"/>
      <c r="G142" s="123"/>
      <c r="H142" s="123"/>
      <c r="I142" s="123"/>
      <c r="J142" s="123"/>
      <c r="K142" s="187"/>
      <c r="L142" s="123"/>
      <c r="M142" s="123"/>
      <c r="N142" s="123"/>
      <c r="O142" s="123"/>
      <c r="P142" s="123"/>
      <c r="Q142" s="123"/>
      <c r="R142" s="123"/>
      <c r="S142" s="124"/>
      <c r="T142" s="125"/>
      <c r="U142" s="126"/>
      <c r="V142" s="126"/>
      <c r="W142" s="90"/>
      <c r="X142" s="127"/>
      <c r="Y142" s="128"/>
      <c r="Z142" s="90"/>
      <c r="AD142" s="21"/>
    </row>
    <row r="143" spans="2:30" ht="12.2" hidden="1" customHeight="1" x14ac:dyDescent="0.2">
      <c r="B143" s="129" t="s">
        <v>100</v>
      </c>
      <c r="C143" s="4"/>
      <c r="D143" s="130"/>
      <c r="E143" s="130"/>
      <c r="F143" s="130"/>
      <c r="G143" s="130"/>
      <c r="H143" s="130"/>
      <c r="I143" s="130"/>
      <c r="J143" s="130"/>
      <c r="K143" s="188"/>
      <c r="L143" s="130"/>
      <c r="M143" s="130"/>
      <c r="N143" s="130"/>
      <c r="O143" s="130"/>
      <c r="P143" s="130"/>
      <c r="Q143" s="130"/>
      <c r="R143" s="130"/>
      <c r="S143" s="131"/>
      <c r="T143" s="132"/>
      <c r="U143" s="133"/>
      <c r="V143" s="133"/>
      <c r="W143" s="90"/>
      <c r="X143" s="132"/>
      <c r="Y143" s="128"/>
      <c r="Z143" s="90"/>
      <c r="AD143" s="21"/>
    </row>
    <row r="144" spans="2:30" ht="12.2" hidden="1" customHeight="1" x14ac:dyDescent="0.2">
      <c r="B144" s="134"/>
      <c r="D144" s="130"/>
      <c r="E144" s="130"/>
      <c r="F144" s="130"/>
      <c r="G144" s="130"/>
      <c r="H144" s="130"/>
      <c r="I144" s="130"/>
      <c r="J144" s="130"/>
      <c r="K144" s="188"/>
      <c r="L144" s="130"/>
      <c r="M144" s="130"/>
      <c r="N144" s="130"/>
      <c r="O144" s="130"/>
      <c r="P144" s="130"/>
      <c r="Q144" s="130"/>
      <c r="R144" s="130"/>
      <c r="S144" s="131"/>
      <c r="T144" s="132"/>
      <c r="U144" s="133"/>
      <c r="V144" s="133"/>
      <c r="W144" s="90"/>
      <c r="X144" s="132"/>
      <c r="Y144" s="128"/>
      <c r="Z144" s="90"/>
      <c r="AD144" s="21"/>
    </row>
    <row r="145" spans="2:30" ht="12.2" hidden="1" customHeight="1" x14ac:dyDescent="0.2">
      <c r="B145" s="134" t="s">
        <v>50</v>
      </c>
      <c r="D145" s="130"/>
      <c r="E145" s="130"/>
      <c r="F145" s="130"/>
      <c r="G145" s="130"/>
      <c r="H145" s="130"/>
      <c r="I145" s="130"/>
      <c r="J145" s="130"/>
      <c r="K145" s="188"/>
      <c r="L145" s="130"/>
      <c r="M145" s="130"/>
      <c r="N145" s="130"/>
      <c r="O145" s="130"/>
      <c r="P145" s="130"/>
      <c r="Q145" s="130"/>
      <c r="R145" s="130"/>
      <c r="S145" s="131"/>
      <c r="T145" s="132"/>
      <c r="U145" s="133"/>
      <c r="V145" s="133"/>
      <c r="W145" s="90"/>
      <c r="X145" s="132"/>
      <c r="Y145" s="128"/>
      <c r="Z145" s="90"/>
      <c r="AD145" s="21"/>
    </row>
    <row r="146" spans="2:30" ht="12.2" hidden="1" customHeight="1" x14ac:dyDescent="0.2">
      <c r="B146" s="134" t="s">
        <v>73</v>
      </c>
      <c r="D146" s="130"/>
      <c r="E146" s="130"/>
      <c r="F146" s="130"/>
      <c r="G146" s="130"/>
      <c r="H146" s="130"/>
      <c r="I146" s="130"/>
      <c r="J146" s="130"/>
      <c r="K146" s="188"/>
      <c r="L146" s="130"/>
      <c r="M146" s="130"/>
      <c r="N146" s="130"/>
      <c r="O146" s="130"/>
      <c r="P146" s="130"/>
      <c r="Q146" s="130"/>
      <c r="R146" s="130"/>
      <c r="S146" s="131"/>
      <c r="T146" s="132"/>
      <c r="U146" s="133"/>
      <c r="V146" s="133"/>
      <c r="W146" s="90"/>
      <c r="X146" s="132"/>
      <c r="Y146" s="128"/>
      <c r="Z146" s="90"/>
      <c r="AD146" s="21"/>
    </row>
    <row r="147" spans="2:30" ht="12.2" hidden="1" customHeight="1" x14ac:dyDescent="0.2">
      <c r="B147" s="134" t="s">
        <v>52</v>
      </c>
      <c r="D147" s="130"/>
      <c r="E147" s="130"/>
      <c r="F147" s="130"/>
      <c r="G147" s="130"/>
      <c r="H147" s="130"/>
      <c r="I147" s="130"/>
      <c r="J147" s="130"/>
      <c r="K147" s="188"/>
      <c r="L147" s="130"/>
      <c r="M147" s="130"/>
      <c r="N147" s="130"/>
      <c r="O147" s="130"/>
      <c r="P147" s="130"/>
      <c r="Q147" s="130"/>
      <c r="R147" s="130"/>
      <c r="S147" s="131"/>
      <c r="T147" s="132"/>
      <c r="U147" s="133"/>
      <c r="V147" s="133"/>
      <c r="W147" s="90"/>
      <c r="X147" s="132"/>
      <c r="Y147" s="128"/>
      <c r="Z147" s="90"/>
      <c r="AD147" s="21"/>
    </row>
    <row r="148" spans="2:30" ht="12.2" hidden="1" customHeight="1" x14ac:dyDescent="0.2">
      <c r="B148" s="134" t="s">
        <v>53</v>
      </c>
      <c r="D148" s="130"/>
      <c r="E148" s="130"/>
      <c r="F148" s="130"/>
      <c r="G148" s="130"/>
      <c r="H148" s="130"/>
      <c r="I148" s="130"/>
      <c r="J148" s="130"/>
      <c r="K148" s="188"/>
      <c r="L148" s="130"/>
      <c r="M148" s="130"/>
      <c r="N148" s="130"/>
      <c r="O148" s="130"/>
      <c r="P148" s="130"/>
      <c r="Q148" s="130"/>
      <c r="R148" s="130"/>
      <c r="S148" s="131"/>
      <c r="T148" s="132"/>
      <c r="U148" s="133"/>
      <c r="V148" s="133"/>
      <c r="W148" s="90"/>
      <c r="X148" s="132"/>
      <c r="Y148" s="128"/>
      <c r="Z148" s="90"/>
      <c r="AD148" s="21"/>
    </row>
    <row r="149" spans="2:30" ht="12.2" hidden="1" customHeight="1" x14ac:dyDescent="0.2">
      <c r="B149" s="135" t="s">
        <v>54</v>
      </c>
      <c r="D149" s="136"/>
      <c r="E149" s="136"/>
      <c r="F149" s="136"/>
      <c r="G149" s="136"/>
      <c r="H149" s="136"/>
      <c r="I149" s="136"/>
      <c r="J149" s="136"/>
      <c r="K149" s="189"/>
      <c r="L149" s="136"/>
      <c r="M149" s="136"/>
      <c r="N149" s="136"/>
      <c r="O149" s="136"/>
      <c r="P149" s="136"/>
      <c r="Q149" s="136"/>
      <c r="R149" s="136"/>
      <c r="S149" s="137"/>
      <c r="T149" s="127"/>
      <c r="U149" s="138"/>
      <c r="V149" s="138"/>
      <c r="W149" s="90"/>
      <c r="X149" s="127"/>
      <c r="Y149" s="128"/>
      <c r="Z149" s="90"/>
      <c r="AD149" s="21"/>
    </row>
    <row r="150" spans="2:30" ht="12.2" hidden="1" customHeight="1" x14ac:dyDescent="0.2">
      <c r="B150" s="129" t="s">
        <v>101</v>
      </c>
      <c r="C150" s="4"/>
      <c r="D150" s="130"/>
      <c r="E150" s="130"/>
      <c r="F150" s="130"/>
      <c r="G150" s="130"/>
      <c r="H150" s="130"/>
      <c r="I150" s="130"/>
      <c r="J150" s="130"/>
      <c r="K150" s="188"/>
      <c r="L150" s="130"/>
      <c r="M150" s="130"/>
      <c r="N150" s="130"/>
      <c r="O150" s="130"/>
      <c r="P150" s="130"/>
      <c r="Q150" s="130"/>
      <c r="R150" s="130"/>
      <c r="S150" s="131"/>
      <c r="T150" s="132"/>
      <c r="U150" s="133"/>
      <c r="V150" s="133"/>
      <c r="W150" s="90"/>
      <c r="X150" s="132"/>
      <c r="Y150" s="128"/>
      <c r="Z150" s="90"/>
      <c r="AD150" s="21"/>
    </row>
    <row r="151" spans="2:30" ht="5.0999999999999996" customHeight="1" x14ac:dyDescent="0.2">
      <c r="B151" s="139"/>
      <c r="C151" s="4"/>
      <c r="D151" s="130"/>
      <c r="E151" s="130"/>
      <c r="F151" s="163"/>
      <c r="G151" s="130"/>
      <c r="H151" s="130"/>
      <c r="I151" s="163"/>
      <c r="J151" s="130"/>
      <c r="K151" s="188"/>
      <c r="L151" s="130"/>
      <c r="M151" s="130"/>
      <c r="N151" s="130"/>
      <c r="O151" s="130"/>
      <c r="P151" s="130"/>
      <c r="Q151" s="130"/>
      <c r="R151" s="130"/>
      <c r="S151" s="131"/>
      <c r="T151" s="132"/>
      <c r="U151" s="133"/>
      <c r="V151" s="133"/>
      <c r="W151" s="90"/>
      <c r="X151" s="131"/>
      <c r="Y151" s="27"/>
      <c r="Z151" s="90"/>
      <c r="AD151" s="21"/>
    </row>
    <row r="152" spans="2:30" ht="12.2" customHeight="1" x14ac:dyDescent="0.2">
      <c r="B152" s="22" t="s">
        <v>102</v>
      </c>
      <c r="C152" s="4"/>
      <c r="D152" s="31">
        <v>74300</v>
      </c>
      <c r="E152" s="31">
        <v>69485</v>
      </c>
      <c r="F152" s="148">
        <f t="shared" ref="F152:F154" si="77">D152-E152</f>
        <v>4815</v>
      </c>
      <c r="G152" s="31">
        <v>63125</v>
      </c>
      <c r="H152" s="31">
        <v>59010</v>
      </c>
      <c r="I152" s="148">
        <f t="shared" ref="I152:I154" si="78">G152-H152</f>
        <v>4115</v>
      </c>
      <c r="J152" s="31">
        <v>59010</v>
      </c>
      <c r="K152" s="168">
        <f t="shared" ref="K152:K154" si="79">+G152-J152</f>
        <v>4115</v>
      </c>
      <c r="L152" s="31">
        <v>56268.35</v>
      </c>
      <c r="M152" s="31">
        <v>57228.23</v>
      </c>
      <c r="N152" s="31">
        <v>63431.76999999999</v>
      </c>
      <c r="O152" s="31">
        <v>52632</v>
      </c>
      <c r="P152" s="31">
        <v>48799</v>
      </c>
      <c r="Q152" s="31">
        <v>48517</v>
      </c>
      <c r="R152" s="31">
        <v>34593</v>
      </c>
      <c r="S152" s="31">
        <v>32330.61</v>
      </c>
      <c r="T152" s="31">
        <v>44656</v>
      </c>
      <c r="U152" s="31">
        <v>36044.18</v>
      </c>
      <c r="V152" s="31">
        <v>40776.94</v>
      </c>
      <c r="W152" s="18"/>
      <c r="X152" s="26">
        <f>G152-H152</f>
        <v>4115</v>
      </c>
      <c r="Y152" s="27">
        <f>X152/H152</f>
        <v>6.973394339942382E-2</v>
      </c>
      <c r="Z152" s="18"/>
      <c r="AD152" s="21"/>
    </row>
    <row r="153" spans="2:30" ht="5.0999999999999996" customHeight="1" x14ac:dyDescent="0.2">
      <c r="B153" s="30"/>
      <c r="D153" s="130"/>
      <c r="E153" s="130"/>
      <c r="F153" s="155">
        <f t="shared" si="77"/>
        <v>0</v>
      </c>
      <c r="G153" s="130"/>
      <c r="H153" s="130"/>
      <c r="I153" s="155">
        <f t="shared" si="78"/>
        <v>0</v>
      </c>
      <c r="J153" s="130"/>
      <c r="K153" s="188">
        <f t="shared" si="79"/>
        <v>0</v>
      </c>
      <c r="L153" s="130"/>
      <c r="M153" s="130"/>
      <c r="N153" s="130"/>
      <c r="O153" s="130"/>
      <c r="P153" s="130"/>
      <c r="Q153" s="130"/>
      <c r="R153" s="130"/>
      <c r="S153" s="131"/>
      <c r="T153" s="132"/>
      <c r="U153" s="133"/>
      <c r="V153" s="133"/>
      <c r="W153" s="90"/>
      <c r="X153" s="26">
        <f>G153-H153</f>
        <v>0</v>
      </c>
      <c r="Y153" s="27"/>
      <c r="Z153" s="90"/>
      <c r="AD153" s="21"/>
    </row>
    <row r="154" spans="2:30" ht="12" customHeight="1" x14ac:dyDescent="0.2">
      <c r="B154" s="43" t="s">
        <v>55</v>
      </c>
      <c r="C154" s="4"/>
      <c r="D154" s="140">
        <f>D152</f>
        <v>74300</v>
      </c>
      <c r="E154" s="140">
        <f>+E152</f>
        <v>69485</v>
      </c>
      <c r="F154" s="158">
        <f t="shared" si="77"/>
        <v>4815</v>
      </c>
      <c r="G154" s="140">
        <f>G152</f>
        <v>63125</v>
      </c>
      <c r="H154" s="140">
        <v>50379</v>
      </c>
      <c r="I154" s="158">
        <f t="shared" si="78"/>
        <v>12746</v>
      </c>
      <c r="J154" s="140">
        <f>J152</f>
        <v>59010</v>
      </c>
      <c r="K154" s="190">
        <f t="shared" si="79"/>
        <v>4115</v>
      </c>
      <c r="L154" s="140">
        <f>L152</f>
        <v>56268.35</v>
      </c>
      <c r="M154" s="140">
        <v>57228.23</v>
      </c>
      <c r="N154" s="140">
        <f>N152</f>
        <v>63431.76999999999</v>
      </c>
      <c r="O154" s="140">
        <f>SUM(O152)</f>
        <v>52632</v>
      </c>
      <c r="P154" s="140">
        <f t="shared" ref="P154:V154" si="80">P152</f>
        <v>48799</v>
      </c>
      <c r="Q154" s="140">
        <f t="shared" si="80"/>
        <v>48517</v>
      </c>
      <c r="R154" s="44">
        <f t="shared" si="80"/>
        <v>34593</v>
      </c>
      <c r="S154" s="141">
        <f t="shared" si="80"/>
        <v>32330.61</v>
      </c>
      <c r="T154" s="44">
        <f t="shared" si="80"/>
        <v>44656</v>
      </c>
      <c r="U154" s="142">
        <f t="shared" si="80"/>
        <v>36044.18</v>
      </c>
      <c r="V154" s="142">
        <f t="shared" si="80"/>
        <v>40776.94</v>
      </c>
      <c r="W154" s="25"/>
      <c r="X154" s="143">
        <f>G154-H154</f>
        <v>12746</v>
      </c>
      <c r="Y154" s="144">
        <f>X154/H154</f>
        <v>0.25300224299807461</v>
      </c>
      <c r="Z154" s="75"/>
      <c r="AD154" s="29"/>
    </row>
    <row r="155" spans="2:30" ht="12" customHeight="1" x14ac:dyDescent="0.2">
      <c r="B155" s="48"/>
      <c r="C155" s="49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8"/>
      <c r="X155" s="57"/>
      <c r="Y155" s="57"/>
      <c r="Z155" s="58"/>
      <c r="AD155" s="59"/>
    </row>
    <row r="156" spans="2:30" ht="12" customHeight="1" x14ac:dyDescent="0.2">
      <c r="B156" s="64" t="s">
        <v>56</v>
      </c>
      <c r="C156" s="4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10"/>
      <c r="X156" s="9"/>
      <c r="Y156" s="9"/>
      <c r="Z156" s="10"/>
      <c r="AD156" s="59"/>
    </row>
    <row r="157" spans="2:30" ht="12.2" customHeight="1" x14ac:dyDescent="0.2">
      <c r="B157" s="30" t="s">
        <v>103</v>
      </c>
      <c r="D157" s="81">
        <v>4500</v>
      </c>
      <c r="E157" s="81">
        <v>4500</v>
      </c>
      <c r="F157" s="148">
        <f t="shared" ref="F157:F160" si="81">D157-E157</f>
        <v>0</v>
      </c>
      <c r="G157" s="81">
        <v>4500</v>
      </c>
      <c r="H157" s="81">
        <v>4100</v>
      </c>
      <c r="I157" s="148">
        <f t="shared" ref="I157:I160" si="82">G157-H157</f>
        <v>400</v>
      </c>
      <c r="J157" s="81">
        <f>'[2]FC 2019'!Q184</f>
        <v>4500</v>
      </c>
      <c r="K157" s="181">
        <f t="shared" ref="K157:K160" si="83">+G157-J157</f>
        <v>0</v>
      </c>
      <c r="L157" s="81">
        <v>10924</v>
      </c>
      <c r="M157" s="81">
        <v>4500</v>
      </c>
      <c r="N157" s="81">
        <f>'[2]FC 2019'!Q184</f>
        <v>4500</v>
      </c>
      <c r="O157" s="81">
        <f>'[2]FC 2019'!Q184</f>
        <v>4500</v>
      </c>
      <c r="P157" s="81">
        <f>'[2]FC 2019'!Q188</f>
        <v>8500</v>
      </c>
      <c r="Q157" s="81">
        <v>3960</v>
      </c>
      <c r="R157" s="81">
        <v>3810</v>
      </c>
      <c r="S157" s="81">
        <v>3600</v>
      </c>
      <c r="T157" s="81">
        <v>3600</v>
      </c>
      <c r="U157" s="81">
        <v>3600</v>
      </c>
      <c r="V157" s="81">
        <v>3600</v>
      </c>
      <c r="W157" s="18"/>
      <c r="X157" s="82">
        <f>G157-H157</f>
        <v>400</v>
      </c>
      <c r="Y157" s="84">
        <f>X157/H157</f>
        <v>9.7560975609756101E-2</v>
      </c>
      <c r="Z157" s="18"/>
      <c r="AD157" s="21"/>
    </row>
    <row r="158" spans="2:30" ht="12.2" customHeight="1" x14ac:dyDescent="0.2">
      <c r="B158" s="30" t="s">
        <v>104</v>
      </c>
      <c r="D158" s="85"/>
      <c r="E158" s="85"/>
      <c r="F158" s="148">
        <f t="shared" si="81"/>
        <v>0</v>
      </c>
      <c r="G158" s="85"/>
      <c r="H158" s="85"/>
      <c r="I158" s="148">
        <f t="shared" si="82"/>
        <v>0</v>
      </c>
      <c r="J158" s="85"/>
      <c r="K158" s="184">
        <f t="shared" si="83"/>
        <v>0</v>
      </c>
      <c r="L158" s="85"/>
      <c r="M158" s="85"/>
      <c r="N158" s="85"/>
      <c r="O158" s="85"/>
      <c r="P158" s="85"/>
      <c r="Q158" s="85"/>
      <c r="R158" s="31"/>
      <c r="S158" s="26"/>
      <c r="T158" s="31"/>
      <c r="U158" s="32"/>
      <c r="V158" s="32"/>
      <c r="W158" s="18"/>
      <c r="X158" s="26">
        <f>G158-H158</f>
        <v>0</v>
      </c>
      <c r="Y158" s="27"/>
      <c r="Z158" s="18"/>
      <c r="AD158" s="21"/>
    </row>
    <row r="159" spans="2:30" ht="12.2" customHeight="1" x14ac:dyDescent="0.2">
      <c r="B159" s="30" t="s">
        <v>94</v>
      </c>
      <c r="D159" s="85">
        <v>3600</v>
      </c>
      <c r="E159" s="85">
        <v>266.5</v>
      </c>
      <c r="F159" s="155">
        <f t="shared" si="81"/>
        <v>3333.5</v>
      </c>
      <c r="G159" s="85">
        <v>3667</v>
      </c>
      <c r="H159" s="85"/>
      <c r="I159" s="155">
        <f t="shared" si="82"/>
        <v>3667</v>
      </c>
      <c r="J159" s="85"/>
      <c r="K159" s="184">
        <f t="shared" si="83"/>
        <v>3667</v>
      </c>
      <c r="L159" s="85">
        <v>399</v>
      </c>
      <c r="M159" s="85"/>
      <c r="N159" s="85"/>
      <c r="O159" s="85"/>
      <c r="P159" s="85"/>
      <c r="Q159" s="85"/>
      <c r="R159" s="40"/>
      <c r="S159" s="26"/>
      <c r="T159" s="31"/>
      <c r="U159" s="32"/>
      <c r="V159" s="32"/>
      <c r="W159" s="18"/>
      <c r="X159" s="26">
        <f>G159-H159</f>
        <v>3667</v>
      </c>
      <c r="Y159" s="27"/>
      <c r="Z159" s="18"/>
      <c r="AD159" s="21"/>
    </row>
    <row r="160" spans="2:30" ht="12.2" customHeight="1" x14ac:dyDescent="0.2">
      <c r="B160" s="43" t="s">
        <v>67</v>
      </c>
      <c r="C160" s="4"/>
      <c r="D160" s="140">
        <f>SUM(D157:D159)</f>
        <v>8100</v>
      </c>
      <c r="E160" s="140">
        <f>SUM(E157:E159)</f>
        <v>4766.5</v>
      </c>
      <c r="F160" s="158">
        <f t="shared" si="81"/>
        <v>3333.5</v>
      </c>
      <c r="G160" s="140">
        <f>SUM(G157:G159)</f>
        <v>8167</v>
      </c>
      <c r="H160" s="140">
        <f>SUM(H157:H159)</f>
        <v>4100</v>
      </c>
      <c r="I160" s="158">
        <f t="shared" si="82"/>
        <v>4067</v>
      </c>
      <c r="J160" s="140">
        <f>SUM(J157:J159)</f>
        <v>4500</v>
      </c>
      <c r="K160" s="190">
        <f t="shared" si="83"/>
        <v>3667</v>
      </c>
      <c r="L160" s="140">
        <f>SUM(L157:L159)</f>
        <v>11323</v>
      </c>
      <c r="M160" s="140">
        <v>4500</v>
      </c>
      <c r="N160" s="140">
        <f>SUM(N157:N159)</f>
        <v>4500</v>
      </c>
      <c r="O160" s="140">
        <f>SUM(O157:O159)</f>
        <v>4500</v>
      </c>
      <c r="P160" s="140">
        <f t="shared" ref="P160:V160" si="84">SUM(P157:P159)</f>
        <v>8500</v>
      </c>
      <c r="Q160" s="140">
        <f t="shared" si="84"/>
        <v>3960</v>
      </c>
      <c r="R160" s="140">
        <f t="shared" si="84"/>
        <v>3810</v>
      </c>
      <c r="S160" s="141">
        <f t="shared" si="84"/>
        <v>3600</v>
      </c>
      <c r="T160" s="44">
        <f t="shared" si="84"/>
        <v>3600</v>
      </c>
      <c r="U160" s="142">
        <f t="shared" si="84"/>
        <v>3600</v>
      </c>
      <c r="V160" s="142">
        <f t="shared" si="84"/>
        <v>3600</v>
      </c>
      <c r="W160" s="25"/>
      <c r="X160" s="143">
        <f>G160-H160</f>
        <v>4067</v>
      </c>
      <c r="Y160" s="144">
        <f>X160/H160</f>
        <v>0.99195121951219511</v>
      </c>
      <c r="Z160" s="25"/>
      <c r="AD160" s="29"/>
    </row>
    <row r="161" spans="2:30" ht="5.0999999999999996" customHeight="1" x14ac:dyDescent="0.2">
      <c r="B161" s="48"/>
      <c r="C161" s="49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7"/>
      <c r="X161" s="76"/>
      <c r="Y161" s="76"/>
      <c r="Z161" s="77"/>
      <c r="AD161" s="59"/>
    </row>
    <row r="162" spans="2:30" x14ac:dyDescent="0.2">
      <c r="B162" s="64" t="s">
        <v>68</v>
      </c>
      <c r="C162" s="4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10"/>
      <c r="X162" s="78"/>
      <c r="Y162" s="9"/>
      <c r="Z162" s="10"/>
      <c r="AD162" s="59"/>
    </row>
    <row r="163" spans="2:30" ht="12.2" customHeight="1" x14ac:dyDescent="0.2">
      <c r="B163" s="104" t="s">
        <v>69</v>
      </c>
      <c r="C163" s="61"/>
      <c r="D163" s="97">
        <f>D154+D160</f>
        <v>82400</v>
      </c>
      <c r="E163" s="97">
        <f>E154+E160</f>
        <v>74251.5</v>
      </c>
      <c r="F163" s="159">
        <f t="shared" ref="F163" si="85">D163-E163</f>
        <v>8148.5</v>
      </c>
      <c r="G163" s="97">
        <f>G154+G160</f>
        <v>71292</v>
      </c>
      <c r="H163" s="97">
        <f>H154+H160</f>
        <v>54479</v>
      </c>
      <c r="I163" s="159">
        <f t="shared" ref="I163" si="86">G163-H163</f>
        <v>16813</v>
      </c>
      <c r="J163" s="97">
        <f>J154+J160</f>
        <v>63510</v>
      </c>
      <c r="K163" s="183">
        <f t="shared" ref="K163" si="87">+G163-J163</f>
        <v>7782</v>
      </c>
      <c r="L163" s="97">
        <f>L154+L160</f>
        <v>67591.350000000006</v>
      </c>
      <c r="M163" s="97">
        <v>61728.23</v>
      </c>
      <c r="N163" s="97">
        <f>N154+N160</f>
        <v>67931.76999999999</v>
      </c>
      <c r="O163" s="97">
        <f t="shared" ref="O163:V163" si="88">O154+O160</f>
        <v>57132</v>
      </c>
      <c r="P163" s="97">
        <f t="shared" si="88"/>
        <v>57299</v>
      </c>
      <c r="Q163" s="97">
        <f t="shared" si="88"/>
        <v>52477</v>
      </c>
      <c r="R163" s="97">
        <f t="shared" si="88"/>
        <v>38403</v>
      </c>
      <c r="S163" s="72">
        <f t="shared" si="88"/>
        <v>35930.61</v>
      </c>
      <c r="T163" s="55">
        <f t="shared" si="88"/>
        <v>48256</v>
      </c>
      <c r="U163" s="99">
        <f t="shared" si="88"/>
        <v>39644.18</v>
      </c>
      <c r="V163" s="99">
        <f t="shared" si="88"/>
        <v>44376.94</v>
      </c>
      <c r="W163" s="105"/>
      <c r="X163" s="72">
        <f>G163-H163</f>
        <v>16813</v>
      </c>
      <c r="Y163" s="74">
        <f>X163/H163</f>
        <v>0.30861432845683656</v>
      </c>
      <c r="Z163" s="105"/>
      <c r="AD163" s="29"/>
    </row>
    <row r="164" spans="2:30" ht="12.2" customHeight="1" x14ac:dyDescent="0.2">
      <c r="B164" s="2"/>
      <c r="C164" s="4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93"/>
      <c r="X164" s="100"/>
      <c r="Y164" s="100"/>
      <c r="Z164" s="93"/>
      <c r="AD164" s="29"/>
    </row>
    <row r="165" spans="2:30" x14ac:dyDescent="0.2">
      <c r="B165" s="48"/>
      <c r="C165" s="49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7"/>
      <c r="X165" s="76"/>
      <c r="Y165" s="76"/>
      <c r="Z165" s="77"/>
      <c r="AD165" s="59"/>
    </row>
    <row r="166" spans="2:30" x14ac:dyDescent="0.2">
      <c r="B166" s="60" t="s">
        <v>105</v>
      </c>
      <c r="C166" s="6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2"/>
      <c r="T166" s="101"/>
      <c r="U166" s="101"/>
      <c r="V166" s="101"/>
      <c r="W166" s="101"/>
      <c r="X166" s="101"/>
      <c r="Y166" s="101"/>
      <c r="Z166" s="10"/>
      <c r="AD166" s="59"/>
    </row>
    <row r="167" spans="2:30" ht="5.0999999999999996" customHeight="1" x14ac:dyDescent="0.2">
      <c r="B167" s="48"/>
      <c r="C167" s="49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77"/>
      <c r="X167" s="103"/>
      <c r="Y167" s="103"/>
      <c r="Z167" s="77"/>
      <c r="AA167" s="1"/>
      <c r="AB167" s="1"/>
      <c r="AC167" s="1"/>
      <c r="AD167" s="59"/>
    </row>
    <row r="168" spans="2:30" x14ac:dyDescent="0.2">
      <c r="B168" s="64" t="s">
        <v>56</v>
      </c>
      <c r="C168" s="4"/>
      <c r="D168" s="14" t="str">
        <f>D3</f>
        <v>BUDGET 2022</v>
      </c>
      <c r="E168" s="14" t="str">
        <f>E3</f>
        <v>ACT 2021</v>
      </c>
      <c r="F168" s="147" t="s">
        <v>111</v>
      </c>
      <c r="G168" s="14" t="str">
        <f>G3</f>
        <v>BUDGET 2021</v>
      </c>
      <c r="H168" s="14" t="str">
        <f>H3</f>
        <v>ACTUAL 2020</v>
      </c>
      <c r="I168" s="147" t="s">
        <v>111</v>
      </c>
      <c r="J168" s="14" t="str">
        <f>J3</f>
        <v>ACTUAL 2019</v>
      </c>
      <c r="K168" s="14" t="str">
        <f>+K141</f>
        <v>B 2021 vs A2019</v>
      </c>
      <c r="L168" s="14" t="s">
        <v>3</v>
      </c>
      <c r="M168" s="14" t="s">
        <v>4</v>
      </c>
      <c r="N168" s="14" t="str">
        <f>N141</f>
        <v>ACTUAL 2016</v>
      </c>
      <c r="O168" s="14" t="str">
        <f>O3</f>
        <v>ACTUAL 2015</v>
      </c>
      <c r="P168" s="14" t="str">
        <f t="shared" ref="P168:V168" si="89">P141</f>
        <v>ACTUAL 2014</v>
      </c>
      <c r="Q168" s="14" t="str">
        <f t="shared" si="89"/>
        <v>ACTUAL 2013</v>
      </c>
      <c r="R168" s="14" t="str">
        <f t="shared" si="89"/>
        <v>ACTUAL 2012</v>
      </c>
      <c r="S168" s="14" t="str">
        <f t="shared" si="89"/>
        <v>ACTUAL 2011</v>
      </c>
      <c r="T168" s="14" t="str">
        <f t="shared" si="89"/>
        <v>ACTUAL 2010</v>
      </c>
      <c r="U168" s="14" t="str">
        <f t="shared" si="89"/>
        <v>ACTUAL 2009</v>
      </c>
      <c r="V168" s="14" t="str">
        <f t="shared" si="89"/>
        <v>ACTUAL 2008</v>
      </c>
      <c r="W168" s="10"/>
      <c r="X168" s="682" t="str">
        <f>X141</f>
        <v>Var Bud-21 Actual-20</v>
      </c>
      <c r="Y168" s="683"/>
      <c r="Z168" s="10"/>
      <c r="AD168" s="59"/>
    </row>
    <row r="169" spans="2:30" ht="12.2" customHeight="1" x14ac:dyDescent="0.2">
      <c r="B169" s="30" t="s">
        <v>106</v>
      </c>
      <c r="D169" s="81">
        <v>192000</v>
      </c>
      <c r="E169" s="81">
        <v>188395</v>
      </c>
      <c r="F169" s="148">
        <f t="shared" ref="F169:F172" si="90">D169-E169</f>
        <v>3605</v>
      </c>
      <c r="G169" s="81">
        <v>130000</v>
      </c>
      <c r="H169" s="81">
        <v>79614</v>
      </c>
      <c r="I169" s="148">
        <f t="shared" ref="I169:I172" si="91">G169-H169</f>
        <v>50386</v>
      </c>
      <c r="J169" s="81">
        <v>140979</v>
      </c>
      <c r="K169" s="181">
        <f t="shared" ref="K169:K172" si="92">+G169-J169</f>
        <v>-10979</v>
      </c>
      <c r="L169" s="81">
        <v>158118.21</v>
      </c>
      <c r="M169" s="81">
        <v>96251.91</v>
      </c>
      <c r="N169" s="81">
        <v>91681.5</v>
      </c>
      <c r="O169" s="81">
        <v>106117.5</v>
      </c>
      <c r="P169" s="81">
        <v>151287</v>
      </c>
      <c r="Q169" s="81">
        <v>146583</v>
      </c>
      <c r="R169" s="81">
        <v>146945</v>
      </c>
      <c r="S169" s="81">
        <v>135838.21</v>
      </c>
      <c r="T169" s="81">
        <v>124106.12</v>
      </c>
      <c r="U169" s="81">
        <v>93971.3</v>
      </c>
      <c r="V169" s="81">
        <v>145522.49</v>
      </c>
      <c r="W169" s="18"/>
      <c r="X169" s="82">
        <f>G169-H169</f>
        <v>50386</v>
      </c>
      <c r="Y169" s="84">
        <f>X169/H169</f>
        <v>0.63287863943527523</v>
      </c>
      <c r="Z169" s="18"/>
      <c r="AD169" s="21"/>
    </row>
    <row r="170" spans="2:30" ht="12.2" customHeight="1" x14ac:dyDescent="0.2">
      <c r="B170" s="30" t="s">
        <v>107</v>
      </c>
      <c r="D170" s="31">
        <v>49000</v>
      </c>
      <c r="E170" s="31">
        <v>43291</v>
      </c>
      <c r="F170" s="148">
        <f t="shared" si="90"/>
        <v>5709</v>
      </c>
      <c r="G170" s="31">
        <v>34000</v>
      </c>
      <c r="H170" s="31">
        <v>22545</v>
      </c>
      <c r="I170" s="148">
        <f t="shared" si="91"/>
        <v>11455</v>
      </c>
      <c r="J170" s="31">
        <v>94239</v>
      </c>
      <c r="K170" s="168">
        <f t="shared" si="92"/>
        <v>-60239</v>
      </c>
      <c r="L170" s="31">
        <v>63839.31</v>
      </c>
      <c r="M170" s="31">
        <v>53411.66</v>
      </c>
      <c r="N170" s="31">
        <v>108513.01000000002</v>
      </c>
      <c r="O170" s="31">
        <v>29994</v>
      </c>
      <c r="P170" s="31">
        <v>34504</v>
      </c>
      <c r="Q170" s="31">
        <v>40562</v>
      </c>
      <c r="R170" s="31">
        <v>37647</v>
      </c>
      <c r="S170" s="31">
        <v>72624.960000000006</v>
      </c>
      <c r="T170" s="31">
        <v>88607.75</v>
      </c>
      <c r="U170" s="31">
        <v>45402.91</v>
      </c>
      <c r="V170" s="31">
        <v>83097.33</v>
      </c>
      <c r="W170" s="18"/>
      <c r="X170" s="26">
        <f>G170-H170</f>
        <v>11455</v>
      </c>
      <c r="Y170" s="27">
        <f>X170/H170</f>
        <v>0.50809492126857392</v>
      </c>
      <c r="Z170" s="18"/>
      <c r="AD170" s="21"/>
    </row>
    <row r="171" spans="2:30" ht="12.2" customHeight="1" x14ac:dyDescent="0.2">
      <c r="B171" s="30" t="s">
        <v>108</v>
      </c>
      <c r="D171" s="31">
        <v>25000</v>
      </c>
      <c r="E171" s="31">
        <v>52006</v>
      </c>
      <c r="F171" s="150">
        <f t="shared" si="90"/>
        <v>-27006</v>
      </c>
      <c r="G171" s="31">
        <v>34250</v>
      </c>
      <c r="H171" s="31">
        <v>37387</v>
      </c>
      <c r="I171" s="150">
        <f t="shared" si="91"/>
        <v>-3137</v>
      </c>
      <c r="J171" s="31">
        <v>27670</v>
      </c>
      <c r="K171" s="168">
        <f t="shared" si="92"/>
        <v>6580</v>
      </c>
      <c r="L171" s="31">
        <v>36159.469999999994</v>
      </c>
      <c r="M171" s="31">
        <v>41952.970000000008</v>
      </c>
      <c r="N171" s="31">
        <v>38117.96</v>
      </c>
      <c r="O171" s="31">
        <v>48902</v>
      </c>
      <c r="P171" s="40">
        <v>41627</v>
      </c>
      <c r="Q171" s="31">
        <v>34495</v>
      </c>
      <c r="R171" s="31">
        <v>55619</v>
      </c>
      <c r="S171" s="31">
        <v>3447.36</v>
      </c>
      <c r="T171" s="31">
        <v>3447.36</v>
      </c>
      <c r="U171" s="31">
        <v>3447.36</v>
      </c>
      <c r="V171" s="31">
        <v>0</v>
      </c>
      <c r="W171" s="18"/>
      <c r="X171" s="26">
        <f>G171-H171</f>
        <v>-3137</v>
      </c>
      <c r="Y171" s="27">
        <f>X171/H171</f>
        <v>-8.3906170594056764E-2</v>
      </c>
      <c r="Z171" s="18"/>
      <c r="AD171" s="21"/>
    </row>
    <row r="172" spans="2:30" ht="12.2" customHeight="1" x14ac:dyDescent="0.2">
      <c r="B172" s="43" t="s">
        <v>67</v>
      </c>
      <c r="C172" s="4"/>
      <c r="D172" s="140">
        <f>SUM(D169:D171)</f>
        <v>266000</v>
      </c>
      <c r="E172" s="140">
        <f>SUM(E169:E171)</f>
        <v>283692</v>
      </c>
      <c r="F172" s="164">
        <f t="shared" si="90"/>
        <v>-17692</v>
      </c>
      <c r="G172" s="140">
        <f>SUM(G169:G171)</f>
        <v>198250</v>
      </c>
      <c r="H172" s="140">
        <f>SUM(H169:H171)</f>
        <v>139546</v>
      </c>
      <c r="I172" s="164">
        <f t="shared" si="91"/>
        <v>58704</v>
      </c>
      <c r="J172" s="140">
        <f>SUM(J169:J171)</f>
        <v>262888</v>
      </c>
      <c r="K172" s="190">
        <f t="shared" si="92"/>
        <v>-64638</v>
      </c>
      <c r="L172" s="140">
        <f>SUM(L169:L171)</f>
        <v>258116.99</v>
      </c>
      <c r="M172" s="140">
        <v>191616.54</v>
      </c>
      <c r="N172" s="140">
        <f>SUM(N169:N171)</f>
        <v>238312.47</v>
      </c>
      <c r="O172" s="140">
        <f>SUM(O169:O171)</f>
        <v>185013.5</v>
      </c>
      <c r="P172" s="140">
        <f t="shared" ref="P172:V172" si="93">SUM(P169:P171)</f>
        <v>227418</v>
      </c>
      <c r="Q172" s="140">
        <f t="shared" si="93"/>
        <v>221640</v>
      </c>
      <c r="R172" s="44">
        <f t="shared" si="93"/>
        <v>240211</v>
      </c>
      <c r="S172" s="141">
        <f t="shared" si="93"/>
        <v>211910.52999999997</v>
      </c>
      <c r="T172" s="44">
        <f t="shared" si="93"/>
        <v>216161.22999999998</v>
      </c>
      <c r="U172" s="142">
        <f t="shared" si="93"/>
        <v>142821.57</v>
      </c>
      <c r="V172" s="142">
        <f t="shared" si="93"/>
        <v>228619.82</v>
      </c>
      <c r="W172" s="25"/>
      <c r="X172" s="143">
        <f>G172-H172</f>
        <v>58704</v>
      </c>
      <c r="Y172" s="144">
        <f>X172/H172</f>
        <v>0.42067848594728618</v>
      </c>
      <c r="Z172" s="25"/>
      <c r="AD172" s="29"/>
    </row>
    <row r="173" spans="2:30" ht="5.0999999999999996" customHeight="1" x14ac:dyDescent="0.2">
      <c r="B173" s="48"/>
      <c r="C173" s="49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7"/>
      <c r="X173" s="76"/>
      <c r="Y173" s="76"/>
      <c r="Z173" s="77"/>
      <c r="AD173" s="59"/>
    </row>
    <row r="174" spans="2:30" x14ac:dyDescent="0.2">
      <c r="B174" s="64" t="s">
        <v>68</v>
      </c>
      <c r="C174" s="4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10"/>
      <c r="X174" s="78"/>
      <c r="Y174" s="9"/>
      <c r="Z174" s="10"/>
      <c r="AD174" s="59"/>
    </row>
    <row r="175" spans="2:30" ht="12.2" customHeight="1" x14ac:dyDescent="0.2">
      <c r="B175" s="104" t="s">
        <v>69</v>
      </c>
      <c r="C175" s="61"/>
      <c r="D175" s="97">
        <f>D172</f>
        <v>266000</v>
      </c>
      <c r="E175" s="97">
        <f>E172</f>
        <v>283692</v>
      </c>
      <c r="F175" s="158">
        <f t="shared" ref="F175" si="94">D175-E175</f>
        <v>-17692</v>
      </c>
      <c r="G175" s="97">
        <f>G172</f>
        <v>198250</v>
      </c>
      <c r="H175" s="97">
        <f>H172</f>
        <v>139546</v>
      </c>
      <c r="I175" s="158">
        <f t="shared" ref="I175" si="95">G175-H175</f>
        <v>58704</v>
      </c>
      <c r="J175" s="97">
        <f>J172</f>
        <v>262888</v>
      </c>
      <c r="K175" s="183">
        <f t="shared" ref="K175" si="96">+G175-J175</f>
        <v>-64638</v>
      </c>
      <c r="L175" s="97">
        <v>258116.99</v>
      </c>
      <c r="M175" s="97">
        <v>191616.54</v>
      </c>
      <c r="N175" s="97">
        <f>N172</f>
        <v>238312.47</v>
      </c>
      <c r="O175" s="97">
        <f>O172</f>
        <v>185013.5</v>
      </c>
      <c r="P175" s="97">
        <f t="shared" ref="P175:V175" si="97">P172</f>
        <v>227418</v>
      </c>
      <c r="Q175" s="97">
        <f t="shared" si="97"/>
        <v>221640</v>
      </c>
      <c r="R175" s="97">
        <f t="shared" si="97"/>
        <v>240211</v>
      </c>
      <c r="S175" s="72">
        <f t="shared" si="97"/>
        <v>211910.52999999997</v>
      </c>
      <c r="T175" s="55">
        <f t="shared" si="97"/>
        <v>216161.22999999998</v>
      </c>
      <c r="U175" s="99">
        <f t="shared" si="97"/>
        <v>142821.57</v>
      </c>
      <c r="V175" s="99">
        <f t="shared" si="97"/>
        <v>228619.82</v>
      </c>
      <c r="W175" s="121"/>
      <c r="X175" s="72">
        <f>G175-H175</f>
        <v>58704</v>
      </c>
      <c r="Y175" s="74">
        <f>X175/H175</f>
        <v>0.42067848594728618</v>
      </c>
      <c r="Z175" s="121"/>
      <c r="AD175" s="29"/>
    </row>
    <row r="176" spans="2:30" x14ac:dyDescent="0.2">
      <c r="B176" s="48"/>
      <c r="C176" s="49"/>
      <c r="D176" s="49"/>
      <c r="E176" s="49"/>
      <c r="F176" s="49"/>
      <c r="G176" s="49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7"/>
      <c r="X176" s="76"/>
      <c r="Y176" s="76"/>
      <c r="Z176" s="77"/>
      <c r="AD176" s="59"/>
    </row>
    <row r="177" spans="2:30" x14ac:dyDescent="0.2">
      <c r="B177" s="48"/>
      <c r="C177" s="49"/>
      <c r="D177" s="49"/>
      <c r="E177" s="49"/>
      <c r="F177" s="49"/>
      <c r="G177" s="49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7"/>
      <c r="X177" s="76"/>
      <c r="Y177" s="76"/>
      <c r="Z177" s="77"/>
      <c r="AC177" s="76"/>
      <c r="AD177" s="59"/>
    </row>
    <row r="178" spans="2:30" x14ac:dyDescent="0.2">
      <c r="B178" s="48"/>
      <c r="C178" s="49"/>
      <c r="D178" s="49"/>
      <c r="E178" s="49"/>
      <c r="F178" s="49"/>
      <c r="G178" s="49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7"/>
      <c r="X178" s="76"/>
      <c r="Y178" s="76"/>
      <c r="Z178" s="77"/>
      <c r="AC178" s="76"/>
      <c r="AD178" s="59"/>
    </row>
    <row r="179" spans="2:30" ht="12.75" x14ac:dyDescent="0.2">
      <c r="B179" s="145"/>
      <c r="C179" s="145"/>
      <c r="D179" s="145"/>
      <c r="E179" s="145"/>
      <c r="F179" s="145"/>
      <c r="G179" s="145"/>
      <c r="H179" s="145"/>
      <c r="I179" s="145"/>
      <c r="J179" s="145"/>
      <c r="K179" s="145"/>
      <c r="L179" s="145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5"/>
      <c r="X179" s="76"/>
      <c r="Y179" s="76"/>
      <c r="Z179" s="77"/>
      <c r="AC179" s="76"/>
      <c r="AD179" s="59"/>
    </row>
  </sheetData>
  <mergeCells count="6">
    <mergeCell ref="X168:Y168"/>
    <mergeCell ref="X3:Y3"/>
    <mergeCell ref="X30:Y30"/>
    <mergeCell ref="X73:Y73"/>
    <mergeCell ref="X110:Y110"/>
    <mergeCell ref="X141:Y141"/>
  </mergeCells>
  <pageMargins left="0.7" right="0.7" top="0.75" bottom="0.75" header="0.3" footer="0.3"/>
  <pageSetup scale="50" fitToHeight="0" orientation="landscape" r:id="rId1"/>
  <rowBreaks count="3" manualBreakCount="3">
    <brk id="68" max="18" man="1"/>
    <brk id="136" max="16383" man="1"/>
    <brk id="175" min="1" max="21" man="1"/>
  </rowBreaks>
  <colBreaks count="1" manualBreakCount="1">
    <brk id="26" max="1048575" man="1"/>
  </colBreak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CDCF5-FEBA-4F99-A5AE-A045AC8253A2}">
  <sheetPr>
    <tabColor rgb="FFFFFF00"/>
  </sheetPr>
  <dimension ref="A1:IV23"/>
  <sheetViews>
    <sheetView workbookViewId="0">
      <selection activeCell="C14" sqref="C14"/>
    </sheetView>
  </sheetViews>
  <sheetFormatPr defaultColWidth="2" defaultRowHeight="12.75" x14ac:dyDescent="0.2"/>
  <cols>
    <col min="1" max="1" width="0.7109375" style="534" customWidth="1"/>
    <col min="2" max="2" width="13.42578125" style="534" customWidth="1"/>
    <col min="3" max="3" width="78" style="536" customWidth="1"/>
    <col min="4" max="4" width="22" style="536" customWidth="1"/>
    <col min="5" max="5" width="51.140625" style="538" customWidth="1"/>
    <col min="6" max="49" width="8.85546875" style="538" customWidth="1"/>
    <col min="50" max="244" width="8.85546875" style="536" customWidth="1"/>
    <col min="245" max="245" width="1" style="536" customWidth="1"/>
    <col min="246" max="246" width="12.140625" style="536" customWidth="1"/>
    <col min="247" max="247" width="52" style="536" customWidth="1"/>
    <col min="248" max="248" width="4.42578125" style="536" customWidth="1"/>
    <col min="249" max="249" width="19.42578125" style="536" customWidth="1"/>
    <col min="250" max="250" width="1.85546875" style="536" customWidth="1"/>
    <col min="251" max="251" width="14.140625" style="536" customWidth="1"/>
    <col min="252" max="252" width="2" style="536" customWidth="1"/>
    <col min="253" max="253" width="15" style="536" customWidth="1"/>
    <col min="254" max="254" width="1.5703125" style="536" customWidth="1"/>
    <col min="255" max="255" width="13.140625" style="536" customWidth="1"/>
    <col min="256" max="256" width="2" style="536"/>
    <col min="257" max="257" width="0.7109375" style="536" customWidth="1"/>
    <col min="258" max="258" width="13.42578125" style="536" customWidth="1"/>
    <col min="259" max="259" width="107.85546875" style="536" customWidth="1"/>
    <col min="260" max="260" width="22" style="536" customWidth="1"/>
    <col min="261" max="261" width="51.140625" style="536" customWidth="1"/>
    <col min="262" max="500" width="8.85546875" style="536" customWidth="1"/>
    <col min="501" max="501" width="1" style="536" customWidth="1"/>
    <col min="502" max="502" width="12.140625" style="536" customWidth="1"/>
    <col min="503" max="503" width="52" style="536" customWidth="1"/>
    <col min="504" max="504" width="4.42578125" style="536" customWidth="1"/>
    <col min="505" max="505" width="19.42578125" style="536" customWidth="1"/>
    <col min="506" max="506" width="1.85546875" style="536" customWidth="1"/>
    <col min="507" max="507" width="14.140625" style="536" customWidth="1"/>
    <col min="508" max="508" width="2" style="536"/>
    <col min="509" max="509" width="15" style="536" customWidth="1"/>
    <col min="510" max="510" width="1.5703125" style="536" customWidth="1"/>
    <col min="511" max="511" width="13.140625" style="536" customWidth="1"/>
    <col min="512" max="512" width="2" style="536"/>
    <col min="513" max="513" width="0.7109375" style="536" customWidth="1"/>
    <col min="514" max="514" width="13.42578125" style="536" customWidth="1"/>
    <col min="515" max="515" width="107.85546875" style="536" customWidth="1"/>
    <col min="516" max="516" width="22" style="536" customWidth="1"/>
    <col min="517" max="517" width="51.140625" style="536" customWidth="1"/>
    <col min="518" max="756" width="8.85546875" style="536" customWidth="1"/>
    <col min="757" max="757" width="1" style="536" customWidth="1"/>
    <col min="758" max="758" width="12.140625" style="536" customWidth="1"/>
    <col min="759" max="759" width="52" style="536" customWidth="1"/>
    <col min="760" max="760" width="4.42578125" style="536" customWidth="1"/>
    <col min="761" max="761" width="19.42578125" style="536" customWidth="1"/>
    <col min="762" max="762" width="1.85546875" style="536" customWidth="1"/>
    <col min="763" max="763" width="14.140625" style="536" customWidth="1"/>
    <col min="764" max="764" width="2" style="536"/>
    <col min="765" max="765" width="15" style="536" customWidth="1"/>
    <col min="766" max="766" width="1.5703125" style="536" customWidth="1"/>
    <col min="767" max="767" width="13.140625" style="536" customWidth="1"/>
    <col min="768" max="768" width="2" style="536"/>
    <col min="769" max="769" width="0.7109375" style="536" customWidth="1"/>
    <col min="770" max="770" width="13.42578125" style="536" customWidth="1"/>
    <col min="771" max="771" width="107.85546875" style="536" customWidth="1"/>
    <col min="772" max="772" width="22" style="536" customWidth="1"/>
    <col min="773" max="773" width="51.140625" style="536" customWidth="1"/>
    <col min="774" max="1012" width="8.85546875" style="536" customWidth="1"/>
    <col min="1013" max="1013" width="1" style="536" customWidth="1"/>
    <col min="1014" max="1014" width="12.140625" style="536" customWidth="1"/>
    <col min="1015" max="1015" width="52" style="536" customWidth="1"/>
    <col min="1016" max="1016" width="4.42578125" style="536" customWidth="1"/>
    <col min="1017" max="1017" width="19.42578125" style="536" customWidth="1"/>
    <col min="1018" max="1018" width="1.85546875" style="536" customWidth="1"/>
    <col min="1019" max="1019" width="14.140625" style="536" customWidth="1"/>
    <col min="1020" max="1020" width="2" style="536"/>
    <col min="1021" max="1021" width="15" style="536" customWidth="1"/>
    <col min="1022" max="1022" width="1.5703125" style="536" customWidth="1"/>
    <col min="1023" max="1023" width="13.140625" style="536" customWidth="1"/>
    <col min="1024" max="1024" width="2" style="536"/>
    <col min="1025" max="1025" width="0.7109375" style="536" customWidth="1"/>
    <col min="1026" max="1026" width="13.42578125" style="536" customWidth="1"/>
    <col min="1027" max="1027" width="107.85546875" style="536" customWidth="1"/>
    <col min="1028" max="1028" width="22" style="536" customWidth="1"/>
    <col min="1029" max="1029" width="51.140625" style="536" customWidth="1"/>
    <col min="1030" max="1268" width="8.85546875" style="536" customWidth="1"/>
    <col min="1269" max="1269" width="1" style="536" customWidth="1"/>
    <col min="1270" max="1270" width="12.140625" style="536" customWidth="1"/>
    <col min="1271" max="1271" width="52" style="536" customWidth="1"/>
    <col min="1272" max="1272" width="4.42578125" style="536" customWidth="1"/>
    <col min="1273" max="1273" width="19.42578125" style="536" customWidth="1"/>
    <col min="1274" max="1274" width="1.85546875" style="536" customWidth="1"/>
    <col min="1275" max="1275" width="14.140625" style="536" customWidth="1"/>
    <col min="1276" max="1276" width="2" style="536"/>
    <col min="1277" max="1277" width="15" style="536" customWidth="1"/>
    <col min="1278" max="1278" width="1.5703125" style="536" customWidth="1"/>
    <col min="1279" max="1279" width="13.140625" style="536" customWidth="1"/>
    <col min="1280" max="1280" width="2" style="536"/>
    <col min="1281" max="1281" width="0.7109375" style="536" customWidth="1"/>
    <col min="1282" max="1282" width="13.42578125" style="536" customWidth="1"/>
    <col min="1283" max="1283" width="107.85546875" style="536" customWidth="1"/>
    <col min="1284" max="1284" width="22" style="536" customWidth="1"/>
    <col min="1285" max="1285" width="51.140625" style="536" customWidth="1"/>
    <col min="1286" max="1524" width="8.85546875" style="536" customWidth="1"/>
    <col min="1525" max="1525" width="1" style="536" customWidth="1"/>
    <col min="1526" max="1526" width="12.140625" style="536" customWidth="1"/>
    <col min="1527" max="1527" width="52" style="536" customWidth="1"/>
    <col min="1528" max="1528" width="4.42578125" style="536" customWidth="1"/>
    <col min="1529" max="1529" width="19.42578125" style="536" customWidth="1"/>
    <col min="1530" max="1530" width="1.85546875" style="536" customWidth="1"/>
    <col min="1531" max="1531" width="14.140625" style="536" customWidth="1"/>
    <col min="1532" max="1532" width="2" style="536"/>
    <col min="1533" max="1533" width="15" style="536" customWidth="1"/>
    <col min="1534" max="1534" width="1.5703125" style="536" customWidth="1"/>
    <col min="1535" max="1535" width="13.140625" style="536" customWidth="1"/>
    <col min="1536" max="1536" width="2" style="536"/>
    <col min="1537" max="1537" width="0.7109375" style="536" customWidth="1"/>
    <col min="1538" max="1538" width="13.42578125" style="536" customWidth="1"/>
    <col min="1539" max="1539" width="107.85546875" style="536" customWidth="1"/>
    <col min="1540" max="1540" width="22" style="536" customWidth="1"/>
    <col min="1541" max="1541" width="51.140625" style="536" customWidth="1"/>
    <col min="1542" max="1780" width="8.85546875" style="536" customWidth="1"/>
    <col min="1781" max="1781" width="1" style="536" customWidth="1"/>
    <col min="1782" max="1782" width="12.140625" style="536" customWidth="1"/>
    <col min="1783" max="1783" width="52" style="536" customWidth="1"/>
    <col min="1784" max="1784" width="4.42578125" style="536" customWidth="1"/>
    <col min="1785" max="1785" width="19.42578125" style="536" customWidth="1"/>
    <col min="1786" max="1786" width="1.85546875" style="536" customWidth="1"/>
    <col min="1787" max="1787" width="14.140625" style="536" customWidth="1"/>
    <col min="1788" max="1788" width="2" style="536"/>
    <col min="1789" max="1789" width="15" style="536" customWidth="1"/>
    <col min="1790" max="1790" width="1.5703125" style="536" customWidth="1"/>
    <col min="1791" max="1791" width="13.140625" style="536" customWidth="1"/>
    <col min="1792" max="1792" width="2" style="536"/>
    <col min="1793" max="1793" width="0.7109375" style="536" customWidth="1"/>
    <col min="1794" max="1794" width="13.42578125" style="536" customWidth="1"/>
    <col min="1795" max="1795" width="107.85546875" style="536" customWidth="1"/>
    <col min="1796" max="1796" width="22" style="536" customWidth="1"/>
    <col min="1797" max="1797" width="51.140625" style="536" customWidth="1"/>
    <col min="1798" max="2036" width="8.85546875" style="536" customWidth="1"/>
    <col min="2037" max="2037" width="1" style="536" customWidth="1"/>
    <col min="2038" max="2038" width="12.140625" style="536" customWidth="1"/>
    <col min="2039" max="2039" width="52" style="536" customWidth="1"/>
    <col min="2040" max="2040" width="4.42578125" style="536" customWidth="1"/>
    <col min="2041" max="2041" width="19.42578125" style="536" customWidth="1"/>
    <col min="2042" max="2042" width="1.85546875" style="536" customWidth="1"/>
    <col min="2043" max="2043" width="14.140625" style="536" customWidth="1"/>
    <col min="2044" max="2044" width="2" style="536"/>
    <col min="2045" max="2045" width="15" style="536" customWidth="1"/>
    <col min="2046" max="2046" width="1.5703125" style="536" customWidth="1"/>
    <col min="2047" max="2047" width="13.140625" style="536" customWidth="1"/>
    <col min="2048" max="2048" width="2" style="536"/>
    <col min="2049" max="2049" width="0.7109375" style="536" customWidth="1"/>
    <col min="2050" max="2050" width="13.42578125" style="536" customWidth="1"/>
    <col min="2051" max="2051" width="107.85546875" style="536" customWidth="1"/>
    <col min="2052" max="2052" width="22" style="536" customWidth="1"/>
    <col min="2053" max="2053" width="51.140625" style="536" customWidth="1"/>
    <col min="2054" max="2292" width="8.85546875" style="536" customWidth="1"/>
    <col min="2293" max="2293" width="1" style="536" customWidth="1"/>
    <col min="2294" max="2294" width="12.140625" style="536" customWidth="1"/>
    <col min="2295" max="2295" width="52" style="536" customWidth="1"/>
    <col min="2296" max="2296" width="4.42578125" style="536" customWidth="1"/>
    <col min="2297" max="2297" width="19.42578125" style="536" customWidth="1"/>
    <col min="2298" max="2298" width="1.85546875" style="536" customWidth="1"/>
    <col min="2299" max="2299" width="14.140625" style="536" customWidth="1"/>
    <col min="2300" max="2300" width="2" style="536"/>
    <col min="2301" max="2301" width="15" style="536" customWidth="1"/>
    <col min="2302" max="2302" width="1.5703125" style="536" customWidth="1"/>
    <col min="2303" max="2303" width="13.140625" style="536" customWidth="1"/>
    <col min="2304" max="2304" width="2" style="536"/>
    <col min="2305" max="2305" width="0.7109375" style="536" customWidth="1"/>
    <col min="2306" max="2306" width="13.42578125" style="536" customWidth="1"/>
    <col min="2307" max="2307" width="107.85546875" style="536" customWidth="1"/>
    <col min="2308" max="2308" width="22" style="536" customWidth="1"/>
    <col min="2309" max="2309" width="51.140625" style="536" customWidth="1"/>
    <col min="2310" max="2548" width="8.85546875" style="536" customWidth="1"/>
    <col min="2549" max="2549" width="1" style="536" customWidth="1"/>
    <col min="2550" max="2550" width="12.140625" style="536" customWidth="1"/>
    <col min="2551" max="2551" width="52" style="536" customWidth="1"/>
    <col min="2552" max="2552" width="4.42578125" style="536" customWidth="1"/>
    <col min="2553" max="2553" width="19.42578125" style="536" customWidth="1"/>
    <col min="2554" max="2554" width="1.85546875" style="536" customWidth="1"/>
    <col min="2555" max="2555" width="14.140625" style="536" customWidth="1"/>
    <col min="2556" max="2556" width="2" style="536"/>
    <col min="2557" max="2557" width="15" style="536" customWidth="1"/>
    <col min="2558" max="2558" width="1.5703125" style="536" customWidth="1"/>
    <col min="2559" max="2559" width="13.140625" style="536" customWidth="1"/>
    <col min="2560" max="2560" width="2" style="536"/>
    <col min="2561" max="2561" width="0.7109375" style="536" customWidth="1"/>
    <col min="2562" max="2562" width="13.42578125" style="536" customWidth="1"/>
    <col min="2563" max="2563" width="107.85546875" style="536" customWidth="1"/>
    <col min="2564" max="2564" width="22" style="536" customWidth="1"/>
    <col min="2565" max="2565" width="51.140625" style="536" customWidth="1"/>
    <col min="2566" max="2804" width="8.85546875" style="536" customWidth="1"/>
    <col min="2805" max="2805" width="1" style="536" customWidth="1"/>
    <col min="2806" max="2806" width="12.140625" style="536" customWidth="1"/>
    <col min="2807" max="2807" width="52" style="536" customWidth="1"/>
    <col min="2808" max="2808" width="4.42578125" style="536" customWidth="1"/>
    <col min="2809" max="2809" width="19.42578125" style="536" customWidth="1"/>
    <col min="2810" max="2810" width="1.85546875" style="536" customWidth="1"/>
    <col min="2811" max="2811" width="14.140625" style="536" customWidth="1"/>
    <col min="2812" max="2812" width="2" style="536"/>
    <col min="2813" max="2813" width="15" style="536" customWidth="1"/>
    <col min="2814" max="2814" width="1.5703125" style="536" customWidth="1"/>
    <col min="2815" max="2815" width="13.140625" style="536" customWidth="1"/>
    <col min="2816" max="2816" width="2" style="536"/>
    <col min="2817" max="2817" width="0.7109375" style="536" customWidth="1"/>
    <col min="2818" max="2818" width="13.42578125" style="536" customWidth="1"/>
    <col min="2819" max="2819" width="107.85546875" style="536" customWidth="1"/>
    <col min="2820" max="2820" width="22" style="536" customWidth="1"/>
    <col min="2821" max="2821" width="51.140625" style="536" customWidth="1"/>
    <col min="2822" max="3060" width="8.85546875" style="536" customWidth="1"/>
    <col min="3061" max="3061" width="1" style="536" customWidth="1"/>
    <col min="3062" max="3062" width="12.140625" style="536" customWidth="1"/>
    <col min="3063" max="3063" width="52" style="536" customWidth="1"/>
    <col min="3064" max="3064" width="4.42578125" style="536" customWidth="1"/>
    <col min="3065" max="3065" width="19.42578125" style="536" customWidth="1"/>
    <col min="3066" max="3066" width="1.85546875" style="536" customWidth="1"/>
    <col min="3067" max="3067" width="14.140625" style="536" customWidth="1"/>
    <col min="3068" max="3068" width="2" style="536"/>
    <col min="3069" max="3069" width="15" style="536" customWidth="1"/>
    <col min="3070" max="3070" width="1.5703125" style="536" customWidth="1"/>
    <col min="3071" max="3071" width="13.140625" style="536" customWidth="1"/>
    <col min="3072" max="3072" width="2" style="536"/>
    <col min="3073" max="3073" width="0.7109375" style="536" customWidth="1"/>
    <col min="3074" max="3074" width="13.42578125" style="536" customWidth="1"/>
    <col min="3075" max="3075" width="107.85546875" style="536" customWidth="1"/>
    <col min="3076" max="3076" width="22" style="536" customWidth="1"/>
    <col min="3077" max="3077" width="51.140625" style="536" customWidth="1"/>
    <col min="3078" max="3316" width="8.85546875" style="536" customWidth="1"/>
    <col min="3317" max="3317" width="1" style="536" customWidth="1"/>
    <col min="3318" max="3318" width="12.140625" style="536" customWidth="1"/>
    <col min="3319" max="3319" width="52" style="536" customWidth="1"/>
    <col min="3320" max="3320" width="4.42578125" style="536" customWidth="1"/>
    <col min="3321" max="3321" width="19.42578125" style="536" customWidth="1"/>
    <col min="3322" max="3322" width="1.85546875" style="536" customWidth="1"/>
    <col min="3323" max="3323" width="14.140625" style="536" customWidth="1"/>
    <col min="3324" max="3324" width="2" style="536"/>
    <col min="3325" max="3325" width="15" style="536" customWidth="1"/>
    <col min="3326" max="3326" width="1.5703125" style="536" customWidth="1"/>
    <col min="3327" max="3327" width="13.140625" style="536" customWidth="1"/>
    <col min="3328" max="3328" width="2" style="536"/>
    <col min="3329" max="3329" width="0.7109375" style="536" customWidth="1"/>
    <col min="3330" max="3330" width="13.42578125" style="536" customWidth="1"/>
    <col min="3331" max="3331" width="107.85546875" style="536" customWidth="1"/>
    <col min="3332" max="3332" width="22" style="536" customWidth="1"/>
    <col min="3333" max="3333" width="51.140625" style="536" customWidth="1"/>
    <col min="3334" max="3572" width="8.85546875" style="536" customWidth="1"/>
    <col min="3573" max="3573" width="1" style="536" customWidth="1"/>
    <col min="3574" max="3574" width="12.140625" style="536" customWidth="1"/>
    <col min="3575" max="3575" width="52" style="536" customWidth="1"/>
    <col min="3576" max="3576" width="4.42578125" style="536" customWidth="1"/>
    <col min="3577" max="3577" width="19.42578125" style="536" customWidth="1"/>
    <col min="3578" max="3578" width="1.85546875" style="536" customWidth="1"/>
    <col min="3579" max="3579" width="14.140625" style="536" customWidth="1"/>
    <col min="3580" max="3580" width="2" style="536"/>
    <col min="3581" max="3581" width="15" style="536" customWidth="1"/>
    <col min="3582" max="3582" width="1.5703125" style="536" customWidth="1"/>
    <col min="3583" max="3583" width="13.140625" style="536" customWidth="1"/>
    <col min="3584" max="3584" width="2" style="536"/>
    <col min="3585" max="3585" width="0.7109375" style="536" customWidth="1"/>
    <col min="3586" max="3586" width="13.42578125" style="536" customWidth="1"/>
    <col min="3587" max="3587" width="107.85546875" style="536" customWidth="1"/>
    <col min="3588" max="3588" width="22" style="536" customWidth="1"/>
    <col min="3589" max="3589" width="51.140625" style="536" customWidth="1"/>
    <col min="3590" max="3828" width="8.85546875" style="536" customWidth="1"/>
    <col min="3829" max="3829" width="1" style="536" customWidth="1"/>
    <col min="3830" max="3830" width="12.140625" style="536" customWidth="1"/>
    <col min="3831" max="3831" width="52" style="536" customWidth="1"/>
    <col min="3832" max="3832" width="4.42578125" style="536" customWidth="1"/>
    <col min="3833" max="3833" width="19.42578125" style="536" customWidth="1"/>
    <col min="3834" max="3834" width="1.85546875" style="536" customWidth="1"/>
    <col min="3835" max="3835" width="14.140625" style="536" customWidth="1"/>
    <col min="3836" max="3836" width="2" style="536"/>
    <col min="3837" max="3837" width="15" style="536" customWidth="1"/>
    <col min="3838" max="3838" width="1.5703125" style="536" customWidth="1"/>
    <col min="3839" max="3839" width="13.140625" style="536" customWidth="1"/>
    <col min="3840" max="3840" width="2" style="536"/>
    <col min="3841" max="3841" width="0.7109375" style="536" customWidth="1"/>
    <col min="3842" max="3842" width="13.42578125" style="536" customWidth="1"/>
    <col min="3843" max="3843" width="107.85546875" style="536" customWidth="1"/>
    <col min="3844" max="3844" width="22" style="536" customWidth="1"/>
    <col min="3845" max="3845" width="51.140625" style="536" customWidth="1"/>
    <col min="3846" max="4084" width="8.85546875" style="536" customWidth="1"/>
    <col min="4085" max="4085" width="1" style="536" customWidth="1"/>
    <col min="4086" max="4086" width="12.140625" style="536" customWidth="1"/>
    <col min="4087" max="4087" width="52" style="536" customWidth="1"/>
    <col min="4088" max="4088" width="4.42578125" style="536" customWidth="1"/>
    <col min="4089" max="4089" width="19.42578125" style="536" customWidth="1"/>
    <col min="4090" max="4090" width="1.85546875" style="536" customWidth="1"/>
    <col min="4091" max="4091" width="14.140625" style="536" customWidth="1"/>
    <col min="4092" max="4092" width="2" style="536"/>
    <col min="4093" max="4093" width="15" style="536" customWidth="1"/>
    <col min="4094" max="4094" width="1.5703125" style="536" customWidth="1"/>
    <col min="4095" max="4095" width="13.140625" style="536" customWidth="1"/>
    <col min="4096" max="4096" width="2" style="536"/>
    <col min="4097" max="4097" width="0.7109375" style="536" customWidth="1"/>
    <col min="4098" max="4098" width="13.42578125" style="536" customWidth="1"/>
    <col min="4099" max="4099" width="107.85546875" style="536" customWidth="1"/>
    <col min="4100" max="4100" width="22" style="536" customWidth="1"/>
    <col min="4101" max="4101" width="51.140625" style="536" customWidth="1"/>
    <col min="4102" max="4340" width="8.85546875" style="536" customWidth="1"/>
    <col min="4341" max="4341" width="1" style="536" customWidth="1"/>
    <col min="4342" max="4342" width="12.140625" style="536" customWidth="1"/>
    <col min="4343" max="4343" width="52" style="536" customWidth="1"/>
    <col min="4344" max="4344" width="4.42578125" style="536" customWidth="1"/>
    <col min="4345" max="4345" width="19.42578125" style="536" customWidth="1"/>
    <col min="4346" max="4346" width="1.85546875" style="536" customWidth="1"/>
    <col min="4347" max="4347" width="14.140625" style="536" customWidth="1"/>
    <col min="4348" max="4348" width="2" style="536"/>
    <col min="4349" max="4349" width="15" style="536" customWidth="1"/>
    <col min="4350" max="4350" width="1.5703125" style="536" customWidth="1"/>
    <col min="4351" max="4351" width="13.140625" style="536" customWidth="1"/>
    <col min="4352" max="4352" width="2" style="536"/>
    <col min="4353" max="4353" width="0.7109375" style="536" customWidth="1"/>
    <col min="4354" max="4354" width="13.42578125" style="536" customWidth="1"/>
    <col min="4355" max="4355" width="107.85546875" style="536" customWidth="1"/>
    <col min="4356" max="4356" width="22" style="536" customWidth="1"/>
    <col min="4357" max="4357" width="51.140625" style="536" customWidth="1"/>
    <col min="4358" max="4596" width="8.85546875" style="536" customWidth="1"/>
    <col min="4597" max="4597" width="1" style="536" customWidth="1"/>
    <col min="4598" max="4598" width="12.140625" style="536" customWidth="1"/>
    <col min="4599" max="4599" width="52" style="536" customWidth="1"/>
    <col min="4600" max="4600" width="4.42578125" style="536" customWidth="1"/>
    <col min="4601" max="4601" width="19.42578125" style="536" customWidth="1"/>
    <col min="4602" max="4602" width="1.85546875" style="536" customWidth="1"/>
    <col min="4603" max="4603" width="14.140625" style="536" customWidth="1"/>
    <col min="4604" max="4604" width="2" style="536"/>
    <col min="4605" max="4605" width="15" style="536" customWidth="1"/>
    <col min="4606" max="4606" width="1.5703125" style="536" customWidth="1"/>
    <col min="4607" max="4607" width="13.140625" style="536" customWidth="1"/>
    <col min="4608" max="4608" width="2" style="536"/>
    <col min="4609" max="4609" width="0.7109375" style="536" customWidth="1"/>
    <col min="4610" max="4610" width="13.42578125" style="536" customWidth="1"/>
    <col min="4611" max="4611" width="107.85546875" style="536" customWidth="1"/>
    <col min="4612" max="4612" width="22" style="536" customWidth="1"/>
    <col min="4613" max="4613" width="51.140625" style="536" customWidth="1"/>
    <col min="4614" max="4852" width="8.85546875" style="536" customWidth="1"/>
    <col min="4853" max="4853" width="1" style="536" customWidth="1"/>
    <col min="4854" max="4854" width="12.140625" style="536" customWidth="1"/>
    <col min="4855" max="4855" width="52" style="536" customWidth="1"/>
    <col min="4856" max="4856" width="4.42578125" style="536" customWidth="1"/>
    <col min="4857" max="4857" width="19.42578125" style="536" customWidth="1"/>
    <col min="4858" max="4858" width="1.85546875" style="536" customWidth="1"/>
    <col min="4859" max="4859" width="14.140625" style="536" customWidth="1"/>
    <col min="4860" max="4860" width="2" style="536"/>
    <col min="4861" max="4861" width="15" style="536" customWidth="1"/>
    <col min="4862" max="4862" width="1.5703125" style="536" customWidth="1"/>
    <col min="4863" max="4863" width="13.140625" style="536" customWidth="1"/>
    <col min="4864" max="4864" width="2" style="536"/>
    <col min="4865" max="4865" width="0.7109375" style="536" customWidth="1"/>
    <col min="4866" max="4866" width="13.42578125" style="536" customWidth="1"/>
    <col min="4867" max="4867" width="107.85546875" style="536" customWidth="1"/>
    <col min="4868" max="4868" width="22" style="536" customWidth="1"/>
    <col min="4869" max="4869" width="51.140625" style="536" customWidth="1"/>
    <col min="4870" max="5108" width="8.85546875" style="536" customWidth="1"/>
    <col min="5109" max="5109" width="1" style="536" customWidth="1"/>
    <col min="5110" max="5110" width="12.140625" style="536" customWidth="1"/>
    <col min="5111" max="5111" width="52" style="536" customWidth="1"/>
    <col min="5112" max="5112" width="4.42578125" style="536" customWidth="1"/>
    <col min="5113" max="5113" width="19.42578125" style="536" customWidth="1"/>
    <col min="5114" max="5114" width="1.85546875" style="536" customWidth="1"/>
    <col min="5115" max="5115" width="14.140625" style="536" customWidth="1"/>
    <col min="5116" max="5116" width="2" style="536"/>
    <col min="5117" max="5117" width="15" style="536" customWidth="1"/>
    <col min="5118" max="5118" width="1.5703125" style="536" customWidth="1"/>
    <col min="5119" max="5119" width="13.140625" style="536" customWidth="1"/>
    <col min="5120" max="5120" width="2" style="536"/>
    <col min="5121" max="5121" width="0.7109375" style="536" customWidth="1"/>
    <col min="5122" max="5122" width="13.42578125" style="536" customWidth="1"/>
    <col min="5123" max="5123" width="107.85546875" style="536" customWidth="1"/>
    <col min="5124" max="5124" width="22" style="536" customWidth="1"/>
    <col min="5125" max="5125" width="51.140625" style="536" customWidth="1"/>
    <col min="5126" max="5364" width="8.85546875" style="536" customWidth="1"/>
    <col min="5365" max="5365" width="1" style="536" customWidth="1"/>
    <col min="5366" max="5366" width="12.140625" style="536" customWidth="1"/>
    <col min="5367" max="5367" width="52" style="536" customWidth="1"/>
    <col min="5368" max="5368" width="4.42578125" style="536" customWidth="1"/>
    <col min="5369" max="5369" width="19.42578125" style="536" customWidth="1"/>
    <col min="5370" max="5370" width="1.85546875" style="536" customWidth="1"/>
    <col min="5371" max="5371" width="14.140625" style="536" customWidth="1"/>
    <col min="5372" max="5372" width="2" style="536"/>
    <col min="5373" max="5373" width="15" style="536" customWidth="1"/>
    <col min="5374" max="5374" width="1.5703125" style="536" customWidth="1"/>
    <col min="5375" max="5375" width="13.140625" style="536" customWidth="1"/>
    <col min="5376" max="5376" width="2" style="536"/>
    <col min="5377" max="5377" width="0.7109375" style="536" customWidth="1"/>
    <col min="5378" max="5378" width="13.42578125" style="536" customWidth="1"/>
    <col min="5379" max="5379" width="107.85546875" style="536" customWidth="1"/>
    <col min="5380" max="5380" width="22" style="536" customWidth="1"/>
    <col min="5381" max="5381" width="51.140625" style="536" customWidth="1"/>
    <col min="5382" max="5620" width="8.85546875" style="536" customWidth="1"/>
    <col min="5621" max="5621" width="1" style="536" customWidth="1"/>
    <col min="5622" max="5622" width="12.140625" style="536" customWidth="1"/>
    <col min="5623" max="5623" width="52" style="536" customWidth="1"/>
    <col min="5624" max="5624" width="4.42578125" style="536" customWidth="1"/>
    <col min="5625" max="5625" width="19.42578125" style="536" customWidth="1"/>
    <col min="5626" max="5626" width="1.85546875" style="536" customWidth="1"/>
    <col min="5627" max="5627" width="14.140625" style="536" customWidth="1"/>
    <col min="5628" max="5628" width="2" style="536"/>
    <col min="5629" max="5629" width="15" style="536" customWidth="1"/>
    <col min="5630" max="5630" width="1.5703125" style="536" customWidth="1"/>
    <col min="5631" max="5631" width="13.140625" style="536" customWidth="1"/>
    <col min="5632" max="5632" width="2" style="536"/>
    <col min="5633" max="5633" width="0.7109375" style="536" customWidth="1"/>
    <col min="5634" max="5634" width="13.42578125" style="536" customWidth="1"/>
    <col min="5635" max="5635" width="107.85546875" style="536" customWidth="1"/>
    <col min="5636" max="5636" width="22" style="536" customWidth="1"/>
    <col min="5637" max="5637" width="51.140625" style="536" customWidth="1"/>
    <col min="5638" max="5876" width="8.85546875" style="536" customWidth="1"/>
    <col min="5877" max="5877" width="1" style="536" customWidth="1"/>
    <col min="5878" max="5878" width="12.140625" style="536" customWidth="1"/>
    <col min="5879" max="5879" width="52" style="536" customWidth="1"/>
    <col min="5880" max="5880" width="4.42578125" style="536" customWidth="1"/>
    <col min="5881" max="5881" width="19.42578125" style="536" customWidth="1"/>
    <col min="5882" max="5882" width="1.85546875" style="536" customWidth="1"/>
    <col min="5883" max="5883" width="14.140625" style="536" customWidth="1"/>
    <col min="5884" max="5884" width="2" style="536"/>
    <col min="5885" max="5885" width="15" style="536" customWidth="1"/>
    <col min="5886" max="5886" width="1.5703125" style="536" customWidth="1"/>
    <col min="5887" max="5887" width="13.140625" style="536" customWidth="1"/>
    <col min="5888" max="5888" width="2" style="536"/>
    <col min="5889" max="5889" width="0.7109375" style="536" customWidth="1"/>
    <col min="5890" max="5890" width="13.42578125" style="536" customWidth="1"/>
    <col min="5891" max="5891" width="107.85546875" style="536" customWidth="1"/>
    <col min="5892" max="5892" width="22" style="536" customWidth="1"/>
    <col min="5893" max="5893" width="51.140625" style="536" customWidth="1"/>
    <col min="5894" max="6132" width="8.85546875" style="536" customWidth="1"/>
    <col min="6133" max="6133" width="1" style="536" customWidth="1"/>
    <col min="6134" max="6134" width="12.140625" style="536" customWidth="1"/>
    <col min="6135" max="6135" width="52" style="536" customWidth="1"/>
    <col min="6136" max="6136" width="4.42578125" style="536" customWidth="1"/>
    <col min="6137" max="6137" width="19.42578125" style="536" customWidth="1"/>
    <col min="6138" max="6138" width="1.85546875" style="536" customWidth="1"/>
    <col min="6139" max="6139" width="14.140625" style="536" customWidth="1"/>
    <col min="6140" max="6140" width="2" style="536"/>
    <col min="6141" max="6141" width="15" style="536" customWidth="1"/>
    <col min="6142" max="6142" width="1.5703125" style="536" customWidth="1"/>
    <col min="6143" max="6143" width="13.140625" style="536" customWidth="1"/>
    <col min="6144" max="6144" width="2" style="536"/>
    <col min="6145" max="6145" width="0.7109375" style="536" customWidth="1"/>
    <col min="6146" max="6146" width="13.42578125" style="536" customWidth="1"/>
    <col min="6147" max="6147" width="107.85546875" style="536" customWidth="1"/>
    <col min="6148" max="6148" width="22" style="536" customWidth="1"/>
    <col min="6149" max="6149" width="51.140625" style="536" customWidth="1"/>
    <col min="6150" max="6388" width="8.85546875" style="536" customWidth="1"/>
    <col min="6389" max="6389" width="1" style="536" customWidth="1"/>
    <col min="6390" max="6390" width="12.140625" style="536" customWidth="1"/>
    <col min="6391" max="6391" width="52" style="536" customWidth="1"/>
    <col min="6392" max="6392" width="4.42578125" style="536" customWidth="1"/>
    <col min="6393" max="6393" width="19.42578125" style="536" customWidth="1"/>
    <col min="6394" max="6394" width="1.85546875" style="536" customWidth="1"/>
    <col min="6395" max="6395" width="14.140625" style="536" customWidth="1"/>
    <col min="6396" max="6396" width="2" style="536"/>
    <col min="6397" max="6397" width="15" style="536" customWidth="1"/>
    <col min="6398" max="6398" width="1.5703125" style="536" customWidth="1"/>
    <col min="6399" max="6399" width="13.140625" style="536" customWidth="1"/>
    <col min="6400" max="6400" width="2" style="536"/>
    <col min="6401" max="6401" width="0.7109375" style="536" customWidth="1"/>
    <col min="6402" max="6402" width="13.42578125" style="536" customWidth="1"/>
    <col min="6403" max="6403" width="107.85546875" style="536" customWidth="1"/>
    <col min="6404" max="6404" width="22" style="536" customWidth="1"/>
    <col min="6405" max="6405" width="51.140625" style="536" customWidth="1"/>
    <col min="6406" max="6644" width="8.85546875" style="536" customWidth="1"/>
    <col min="6645" max="6645" width="1" style="536" customWidth="1"/>
    <col min="6646" max="6646" width="12.140625" style="536" customWidth="1"/>
    <col min="6647" max="6647" width="52" style="536" customWidth="1"/>
    <col min="6648" max="6648" width="4.42578125" style="536" customWidth="1"/>
    <col min="6649" max="6649" width="19.42578125" style="536" customWidth="1"/>
    <col min="6650" max="6650" width="1.85546875" style="536" customWidth="1"/>
    <col min="6651" max="6651" width="14.140625" style="536" customWidth="1"/>
    <col min="6652" max="6652" width="2" style="536"/>
    <col min="6653" max="6653" width="15" style="536" customWidth="1"/>
    <col min="6654" max="6654" width="1.5703125" style="536" customWidth="1"/>
    <col min="6655" max="6655" width="13.140625" style="536" customWidth="1"/>
    <col min="6656" max="6656" width="2" style="536"/>
    <col min="6657" max="6657" width="0.7109375" style="536" customWidth="1"/>
    <col min="6658" max="6658" width="13.42578125" style="536" customWidth="1"/>
    <col min="6659" max="6659" width="107.85546875" style="536" customWidth="1"/>
    <col min="6660" max="6660" width="22" style="536" customWidth="1"/>
    <col min="6661" max="6661" width="51.140625" style="536" customWidth="1"/>
    <col min="6662" max="6900" width="8.85546875" style="536" customWidth="1"/>
    <col min="6901" max="6901" width="1" style="536" customWidth="1"/>
    <col min="6902" max="6902" width="12.140625" style="536" customWidth="1"/>
    <col min="6903" max="6903" width="52" style="536" customWidth="1"/>
    <col min="6904" max="6904" width="4.42578125" style="536" customWidth="1"/>
    <col min="6905" max="6905" width="19.42578125" style="536" customWidth="1"/>
    <col min="6906" max="6906" width="1.85546875" style="536" customWidth="1"/>
    <col min="6907" max="6907" width="14.140625" style="536" customWidth="1"/>
    <col min="6908" max="6908" width="2" style="536"/>
    <col min="6909" max="6909" width="15" style="536" customWidth="1"/>
    <col min="6910" max="6910" width="1.5703125" style="536" customWidth="1"/>
    <col min="6911" max="6911" width="13.140625" style="536" customWidth="1"/>
    <col min="6912" max="6912" width="2" style="536"/>
    <col min="6913" max="6913" width="0.7109375" style="536" customWidth="1"/>
    <col min="6914" max="6914" width="13.42578125" style="536" customWidth="1"/>
    <col min="6915" max="6915" width="107.85546875" style="536" customWidth="1"/>
    <col min="6916" max="6916" width="22" style="536" customWidth="1"/>
    <col min="6917" max="6917" width="51.140625" style="536" customWidth="1"/>
    <col min="6918" max="7156" width="8.85546875" style="536" customWidth="1"/>
    <col min="7157" max="7157" width="1" style="536" customWidth="1"/>
    <col min="7158" max="7158" width="12.140625" style="536" customWidth="1"/>
    <col min="7159" max="7159" width="52" style="536" customWidth="1"/>
    <col min="7160" max="7160" width="4.42578125" style="536" customWidth="1"/>
    <col min="7161" max="7161" width="19.42578125" style="536" customWidth="1"/>
    <col min="7162" max="7162" width="1.85546875" style="536" customWidth="1"/>
    <col min="7163" max="7163" width="14.140625" style="536" customWidth="1"/>
    <col min="7164" max="7164" width="2" style="536"/>
    <col min="7165" max="7165" width="15" style="536" customWidth="1"/>
    <col min="7166" max="7166" width="1.5703125" style="536" customWidth="1"/>
    <col min="7167" max="7167" width="13.140625" style="536" customWidth="1"/>
    <col min="7168" max="7168" width="2" style="536"/>
    <col min="7169" max="7169" width="0.7109375" style="536" customWidth="1"/>
    <col min="7170" max="7170" width="13.42578125" style="536" customWidth="1"/>
    <col min="7171" max="7171" width="107.85546875" style="536" customWidth="1"/>
    <col min="7172" max="7172" width="22" style="536" customWidth="1"/>
    <col min="7173" max="7173" width="51.140625" style="536" customWidth="1"/>
    <col min="7174" max="7412" width="8.85546875" style="536" customWidth="1"/>
    <col min="7413" max="7413" width="1" style="536" customWidth="1"/>
    <col min="7414" max="7414" width="12.140625" style="536" customWidth="1"/>
    <col min="7415" max="7415" width="52" style="536" customWidth="1"/>
    <col min="7416" max="7416" width="4.42578125" style="536" customWidth="1"/>
    <col min="7417" max="7417" width="19.42578125" style="536" customWidth="1"/>
    <col min="7418" max="7418" width="1.85546875" style="536" customWidth="1"/>
    <col min="7419" max="7419" width="14.140625" style="536" customWidth="1"/>
    <col min="7420" max="7420" width="2" style="536"/>
    <col min="7421" max="7421" width="15" style="536" customWidth="1"/>
    <col min="7422" max="7422" width="1.5703125" style="536" customWidth="1"/>
    <col min="7423" max="7423" width="13.140625" style="536" customWidth="1"/>
    <col min="7424" max="7424" width="2" style="536"/>
    <col min="7425" max="7425" width="0.7109375" style="536" customWidth="1"/>
    <col min="7426" max="7426" width="13.42578125" style="536" customWidth="1"/>
    <col min="7427" max="7427" width="107.85546875" style="536" customWidth="1"/>
    <col min="7428" max="7428" width="22" style="536" customWidth="1"/>
    <col min="7429" max="7429" width="51.140625" style="536" customWidth="1"/>
    <col min="7430" max="7668" width="8.85546875" style="536" customWidth="1"/>
    <col min="7669" max="7669" width="1" style="536" customWidth="1"/>
    <col min="7670" max="7670" width="12.140625" style="536" customWidth="1"/>
    <col min="7671" max="7671" width="52" style="536" customWidth="1"/>
    <col min="7672" max="7672" width="4.42578125" style="536" customWidth="1"/>
    <col min="7673" max="7673" width="19.42578125" style="536" customWidth="1"/>
    <col min="7674" max="7674" width="1.85546875" style="536" customWidth="1"/>
    <col min="7675" max="7675" width="14.140625" style="536" customWidth="1"/>
    <col min="7676" max="7676" width="2" style="536"/>
    <col min="7677" max="7677" width="15" style="536" customWidth="1"/>
    <col min="7678" max="7678" width="1.5703125" style="536" customWidth="1"/>
    <col min="7679" max="7679" width="13.140625" style="536" customWidth="1"/>
    <col min="7680" max="7680" width="2" style="536"/>
    <col min="7681" max="7681" width="0.7109375" style="536" customWidth="1"/>
    <col min="7682" max="7682" width="13.42578125" style="536" customWidth="1"/>
    <col min="7683" max="7683" width="107.85546875" style="536" customWidth="1"/>
    <col min="7684" max="7684" width="22" style="536" customWidth="1"/>
    <col min="7685" max="7685" width="51.140625" style="536" customWidth="1"/>
    <col min="7686" max="7924" width="8.85546875" style="536" customWidth="1"/>
    <col min="7925" max="7925" width="1" style="536" customWidth="1"/>
    <col min="7926" max="7926" width="12.140625" style="536" customWidth="1"/>
    <col min="7927" max="7927" width="52" style="536" customWidth="1"/>
    <col min="7928" max="7928" width="4.42578125" style="536" customWidth="1"/>
    <col min="7929" max="7929" width="19.42578125" style="536" customWidth="1"/>
    <col min="7930" max="7930" width="1.85546875" style="536" customWidth="1"/>
    <col min="7931" max="7931" width="14.140625" style="536" customWidth="1"/>
    <col min="7932" max="7932" width="2" style="536"/>
    <col min="7933" max="7933" width="15" style="536" customWidth="1"/>
    <col min="7934" max="7934" width="1.5703125" style="536" customWidth="1"/>
    <col min="7935" max="7935" width="13.140625" style="536" customWidth="1"/>
    <col min="7936" max="7936" width="2" style="536"/>
    <col min="7937" max="7937" width="0.7109375" style="536" customWidth="1"/>
    <col min="7938" max="7938" width="13.42578125" style="536" customWidth="1"/>
    <col min="7939" max="7939" width="107.85546875" style="536" customWidth="1"/>
    <col min="7940" max="7940" width="22" style="536" customWidth="1"/>
    <col min="7941" max="7941" width="51.140625" style="536" customWidth="1"/>
    <col min="7942" max="8180" width="8.85546875" style="536" customWidth="1"/>
    <col min="8181" max="8181" width="1" style="536" customWidth="1"/>
    <col min="8182" max="8182" width="12.140625" style="536" customWidth="1"/>
    <col min="8183" max="8183" width="52" style="536" customWidth="1"/>
    <col min="8184" max="8184" width="4.42578125" style="536" customWidth="1"/>
    <col min="8185" max="8185" width="19.42578125" style="536" customWidth="1"/>
    <col min="8186" max="8186" width="1.85546875" style="536" customWidth="1"/>
    <col min="8187" max="8187" width="14.140625" style="536" customWidth="1"/>
    <col min="8188" max="8188" width="2" style="536"/>
    <col min="8189" max="8189" width="15" style="536" customWidth="1"/>
    <col min="8190" max="8190" width="1.5703125" style="536" customWidth="1"/>
    <col min="8191" max="8191" width="13.140625" style="536" customWidth="1"/>
    <col min="8192" max="8192" width="2" style="536"/>
    <col min="8193" max="8193" width="0.7109375" style="536" customWidth="1"/>
    <col min="8194" max="8194" width="13.42578125" style="536" customWidth="1"/>
    <col min="8195" max="8195" width="107.85546875" style="536" customWidth="1"/>
    <col min="8196" max="8196" width="22" style="536" customWidth="1"/>
    <col min="8197" max="8197" width="51.140625" style="536" customWidth="1"/>
    <col min="8198" max="8436" width="8.85546875" style="536" customWidth="1"/>
    <col min="8437" max="8437" width="1" style="536" customWidth="1"/>
    <col min="8438" max="8438" width="12.140625" style="536" customWidth="1"/>
    <col min="8439" max="8439" width="52" style="536" customWidth="1"/>
    <col min="8440" max="8440" width="4.42578125" style="536" customWidth="1"/>
    <col min="8441" max="8441" width="19.42578125" style="536" customWidth="1"/>
    <col min="8442" max="8442" width="1.85546875" style="536" customWidth="1"/>
    <col min="8443" max="8443" width="14.140625" style="536" customWidth="1"/>
    <col min="8444" max="8444" width="2" style="536"/>
    <col min="8445" max="8445" width="15" style="536" customWidth="1"/>
    <col min="8446" max="8446" width="1.5703125" style="536" customWidth="1"/>
    <col min="8447" max="8447" width="13.140625" style="536" customWidth="1"/>
    <col min="8448" max="8448" width="2" style="536"/>
    <col min="8449" max="8449" width="0.7109375" style="536" customWidth="1"/>
    <col min="8450" max="8450" width="13.42578125" style="536" customWidth="1"/>
    <col min="8451" max="8451" width="107.85546875" style="536" customWidth="1"/>
    <col min="8452" max="8452" width="22" style="536" customWidth="1"/>
    <col min="8453" max="8453" width="51.140625" style="536" customWidth="1"/>
    <col min="8454" max="8692" width="8.85546875" style="536" customWidth="1"/>
    <col min="8693" max="8693" width="1" style="536" customWidth="1"/>
    <col min="8694" max="8694" width="12.140625" style="536" customWidth="1"/>
    <col min="8695" max="8695" width="52" style="536" customWidth="1"/>
    <col min="8696" max="8696" width="4.42578125" style="536" customWidth="1"/>
    <col min="8697" max="8697" width="19.42578125" style="536" customWidth="1"/>
    <col min="8698" max="8698" width="1.85546875" style="536" customWidth="1"/>
    <col min="8699" max="8699" width="14.140625" style="536" customWidth="1"/>
    <col min="8700" max="8700" width="2" style="536"/>
    <col min="8701" max="8701" width="15" style="536" customWidth="1"/>
    <col min="8702" max="8702" width="1.5703125" style="536" customWidth="1"/>
    <col min="8703" max="8703" width="13.140625" style="536" customWidth="1"/>
    <col min="8704" max="8704" width="2" style="536"/>
    <col min="8705" max="8705" width="0.7109375" style="536" customWidth="1"/>
    <col min="8706" max="8706" width="13.42578125" style="536" customWidth="1"/>
    <col min="8707" max="8707" width="107.85546875" style="536" customWidth="1"/>
    <col min="8708" max="8708" width="22" style="536" customWidth="1"/>
    <col min="8709" max="8709" width="51.140625" style="536" customWidth="1"/>
    <col min="8710" max="8948" width="8.85546875" style="536" customWidth="1"/>
    <col min="8949" max="8949" width="1" style="536" customWidth="1"/>
    <col min="8950" max="8950" width="12.140625" style="536" customWidth="1"/>
    <col min="8951" max="8951" width="52" style="536" customWidth="1"/>
    <col min="8952" max="8952" width="4.42578125" style="536" customWidth="1"/>
    <col min="8953" max="8953" width="19.42578125" style="536" customWidth="1"/>
    <col min="8954" max="8954" width="1.85546875" style="536" customWidth="1"/>
    <col min="8955" max="8955" width="14.140625" style="536" customWidth="1"/>
    <col min="8956" max="8956" width="2" style="536"/>
    <col min="8957" max="8957" width="15" style="536" customWidth="1"/>
    <col min="8958" max="8958" width="1.5703125" style="536" customWidth="1"/>
    <col min="8959" max="8959" width="13.140625" style="536" customWidth="1"/>
    <col min="8960" max="8960" width="2" style="536"/>
    <col min="8961" max="8961" width="0.7109375" style="536" customWidth="1"/>
    <col min="8962" max="8962" width="13.42578125" style="536" customWidth="1"/>
    <col min="8963" max="8963" width="107.85546875" style="536" customWidth="1"/>
    <col min="8964" max="8964" width="22" style="536" customWidth="1"/>
    <col min="8965" max="8965" width="51.140625" style="536" customWidth="1"/>
    <col min="8966" max="9204" width="8.85546875" style="536" customWidth="1"/>
    <col min="9205" max="9205" width="1" style="536" customWidth="1"/>
    <col min="9206" max="9206" width="12.140625" style="536" customWidth="1"/>
    <col min="9207" max="9207" width="52" style="536" customWidth="1"/>
    <col min="9208" max="9208" width="4.42578125" style="536" customWidth="1"/>
    <col min="9209" max="9209" width="19.42578125" style="536" customWidth="1"/>
    <col min="9210" max="9210" width="1.85546875" style="536" customWidth="1"/>
    <col min="9211" max="9211" width="14.140625" style="536" customWidth="1"/>
    <col min="9212" max="9212" width="2" style="536"/>
    <col min="9213" max="9213" width="15" style="536" customWidth="1"/>
    <col min="9214" max="9214" width="1.5703125" style="536" customWidth="1"/>
    <col min="9215" max="9215" width="13.140625" style="536" customWidth="1"/>
    <col min="9216" max="9216" width="2" style="536"/>
    <col min="9217" max="9217" width="0.7109375" style="536" customWidth="1"/>
    <col min="9218" max="9218" width="13.42578125" style="536" customWidth="1"/>
    <col min="9219" max="9219" width="107.85546875" style="536" customWidth="1"/>
    <col min="9220" max="9220" width="22" style="536" customWidth="1"/>
    <col min="9221" max="9221" width="51.140625" style="536" customWidth="1"/>
    <col min="9222" max="9460" width="8.85546875" style="536" customWidth="1"/>
    <col min="9461" max="9461" width="1" style="536" customWidth="1"/>
    <col min="9462" max="9462" width="12.140625" style="536" customWidth="1"/>
    <col min="9463" max="9463" width="52" style="536" customWidth="1"/>
    <col min="9464" max="9464" width="4.42578125" style="536" customWidth="1"/>
    <col min="9465" max="9465" width="19.42578125" style="536" customWidth="1"/>
    <col min="9466" max="9466" width="1.85546875" style="536" customWidth="1"/>
    <col min="9467" max="9467" width="14.140625" style="536" customWidth="1"/>
    <col min="9468" max="9468" width="2" style="536"/>
    <col min="9469" max="9469" width="15" style="536" customWidth="1"/>
    <col min="9470" max="9470" width="1.5703125" style="536" customWidth="1"/>
    <col min="9471" max="9471" width="13.140625" style="536" customWidth="1"/>
    <col min="9472" max="9472" width="2" style="536"/>
    <col min="9473" max="9473" width="0.7109375" style="536" customWidth="1"/>
    <col min="9474" max="9474" width="13.42578125" style="536" customWidth="1"/>
    <col min="9475" max="9475" width="107.85546875" style="536" customWidth="1"/>
    <col min="9476" max="9476" width="22" style="536" customWidth="1"/>
    <col min="9477" max="9477" width="51.140625" style="536" customWidth="1"/>
    <col min="9478" max="9716" width="8.85546875" style="536" customWidth="1"/>
    <col min="9717" max="9717" width="1" style="536" customWidth="1"/>
    <col min="9718" max="9718" width="12.140625" style="536" customWidth="1"/>
    <col min="9719" max="9719" width="52" style="536" customWidth="1"/>
    <col min="9720" max="9720" width="4.42578125" style="536" customWidth="1"/>
    <col min="9721" max="9721" width="19.42578125" style="536" customWidth="1"/>
    <col min="9722" max="9722" width="1.85546875" style="536" customWidth="1"/>
    <col min="9723" max="9723" width="14.140625" style="536" customWidth="1"/>
    <col min="9724" max="9724" width="2" style="536"/>
    <col min="9725" max="9725" width="15" style="536" customWidth="1"/>
    <col min="9726" max="9726" width="1.5703125" style="536" customWidth="1"/>
    <col min="9727" max="9727" width="13.140625" style="536" customWidth="1"/>
    <col min="9728" max="9728" width="2" style="536"/>
    <col min="9729" max="9729" width="0.7109375" style="536" customWidth="1"/>
    <col min="9730" max="9730" width="13.42578125" style="536" customWidth="1"/>
    <col min="9731" max="9731" width="107.85546875" style="536" customWidth="1"/>
    <col min="9732" max="9732" width="22" style="536" customWidth="1"/>
    <col min="9733" max="9733" width="51.140625" style="536" customWidth="1"/>
    <col min="9734" max="9972" width="8.85546875" style="536" customWidth="1"/>
    <col min="9973" max="9973" width="1" style="536" customWidth="1"/>
    <col min="9974" max="9974" width="12.140625" style="536" customWidth="1"/>
    <col min="9975" max="9975" width="52" style="536" customWidth="1"/>
    <col min="9976" max="9976" width="4.42578125" style="536" customWidth="1"/>
    <col min="9977" max="9977" width="19.42578125" style="536" customWidth="1"/>
    <col min="9978" max="9978" width="1.85546875" style="536" customWidth="1"/>
    <col min="9979" max="9979" width="14.140625" style="536" customWidth="1"/>
    <col min="9980" max="9980" width="2" style="536"/>
    <col min="9981" max="9981" width="15" style="536" customWidth="1"/>
    <col min="9982" max="9982" width="1.5703125" style="536" customWidth="1"/>
    <col min="9983" max="9983" width="13.140625" style="536" customWidth="1"/>
    <col min="9984" max="9984" width="2" style="536"/>
    <col min="9985" max="9985" width="0.7109375" style="536" customWidth="1"/>
    <col min="9986" max="9986" width="13.42578125" style="536" customWidth="1"/>
    <col min="9987" max="9987" width="107.85546875" style="536" customWidth="1"/>
    <col min="9988" max="9988" width="22" style="536" customWidth="1"/>
    <col min="9989" max="9989" width="51.140625" style="536" customWidth="1"/>
    <col min="9990" max="10228" width="8.85546875" style="536" customWidth="1"/>
    <col min="10229" max="10229" width="1" style="536" customWidth="1"/>
    <col min="10230" max="10230" width="12.140625" style="536" customWidth="1"/>
    <col min="10231" max="10231" width="52" style="536" customWidth="1"/>
    <col min="10232" max="10232" width="4.42578125" style="536" customWidth="1"/>
    <col min="10233" max="10233" width="19.42578125" style="536" customWidth="1"/>
    <col min="10234" max="10234" width="1.85546875" style="536" customWidth="1"/>
    <col min="10235" max="10235" width="14.140625" style="536" customWidth="1"/>
    <col min="10236" max="10236" width="2" style="536"/>
    <col min="10237" max="10237" width="15" style="536" customWidth="1"/>
    <col min="10238" max="10238" width="1.5703125" style="536" customWidth="1"/>
    <col min="10239" max="10239" width="13.140625" style="536" customWidth="1"/>
    <col min="10240" max="10240" width="2" style="536"/>
    <col min="10241" max="10241" width="0.7109375" style="536" customWidth="1"/>
    <col min="10242" max="10242" width="13.42578125" style="536" customWidth="1"/>
    <col min="10243" max="10243" width="107.85546875" style="536" customWidth="1"/>
    <col min="10244" max="10244" width="22" style="536" customWidth="1"/>
    <col min="10245" max="10245" width="51.140625" style="536" customWidth="1"/>
    <col min="10246" max="10484" width="8.85546875" style="536" customWidth="1"/>
    <col min="10485" max="10485" width="1" style="536" customWidth="1"/>
    <col min="10486" max="10486" width="12.140625" style="536" customWidth="1"/>
    <col min="10487" max="10487" width="52" style="536" customWidth="1"/>
    <col min="10488" max="10488" width="4.42578125" style="536" customWidth="1"/>
    <col min="10489" max="10489" width="19.42578125" style="536" customWidth="1"/>
    <col min="10490" max="10490" width="1.85546875" style="536" customWidth="1"/>
    <col min="10491" max="10491" width="14.140625" style="536" customWidth="1"/>
    <col min="10492" max="10492" width="2" style="536"/>
    <col min="10493" max="10493" width="15" style="536" customWidth="1"/>
    <col min="10494" max="10494" width="1.5703125" style="536" customWidth="1"/>
    <col min="10495" max="10495" width="13.140625" style="536" customWidth="1"/>
    <col min="10496" max="10496" width="2" style="536"/>
    <col min="10497" max="10497" width="0.7109375" style="536" customWidth="1"/>
    <col min="10498" max="10498" width="13.42578125" style="536" customWidth="1"/>
    <col min="10499" max="10499" width="107.85546875" style="536" customWidth="1"/>
    <col min="10500" max="10500" width="22" style="536" customWidth="1"/>
    <col min="10501" max="10501" width="51.140625" style="536" customWidth="1"/>
    <col min="10502" max="10740" width="8.85546875" style="536" customWidth="1"/>
    <col min="10741" max="10741" width="1" style="536" customWidth="1"/>
    <col min="10742" max="10742" width="12.140625" style="536" customWidth="1"/>
    <col min="10743" max="10743" width="52" style="536" customWidth="1"/>
    <col min="10744" max="10744" width="4.42578125" style="536" customWidth="1"/>
    <col min="10745" max="10745" width="19.42578125" style="536" customWidth="1"/>
    <col min="10746" max="10746" width="1.85546875" style="536" customWidth="1"/>
    <col min="10747" max="10747" width="14.140625" style="536" customWidth="1"/>
    <col min="10748" max="10748" width="2" style="536"/>
    <col min="10749" max="10749" width="15" style="536" customWidth="1"/>
    <col min="10750" max="10750" width="1.5703125" style="536" customWidth="1"/>
    <col min="10751" max="10751" width="13.140625" style="536" customWidth="1"/>
    <col min="10752" max="10752" width="2" style="536"/>
    <col min="10753" max="10753" width="0.7109375" style="536" customWidth="1"/>
    <col min="10754" max="10754" width="13.42578125" style="536" customWidth="1"/>
    <col min="10755" max="10755" width="107.85546875" style="536" customWidth="1"/>
    <col min="10756" max="10756" width="22" style="536" customWidth="1"/>
    <col min="10757" max="10757" width="51.140625" style="536" customWidth="1"/>
    <col min="10758" max="10996" width="8.85546875" style="536" customWidth="1"/>
    <col min="10997" max="10997" width="1" style="536" customWidth="1"/>
    <col min="10998" max="10998" width="12.140625" style="536" customWidth="1"/>
    <col min="10999" max="10999" width="52" style="536" customWidth="1"/>
    <col min="11000" max="11000" width="4.42578125" style="536" customWidth="1"/>
    <col min="11001" max="11001" width="19.42578125" style="536" customWidth="1"/>
    <col min="11002" max="11002" width="1.85546875" style="536" customWidth="1"/>
    <col min="11003" max="11003" width="14.140625" style="536" customWidth="1"/>
    <col min="11004" max="11004" width="2" style="536"/>
    <col min="11005" max="11005" width="15" style="536" customWidth="1"/>
    <col min="11006" max="11006" width="1.5703125" style="536" customWidth="1"/>
    <col min="11007" max="11007" width="13.140625" style="536" customWidth="1"/>
    <col min="11008" max="11008" width="2" style="536"/>
    <col min="11009" max="11009" width="0.7109375" style="536" customWidth="1"/>
    <col min="11010" max="11010" width="13.42578125" style="536" customWidth="1"/>
    <col min="11011" max="11011" width="107.85546875" style="536" customWidth="1"/>
    <col min="11012" max="11012" width="22" style="536" customWidth="1"/>
    <col min="11013" max="11013" width="51.140625" style="536" customWidth="1"/>
    <col min="11014" max="11252" width="8.85546875" style="536" customWidth="1"/>
    <col min="11253" max="11253" width="1" style="536" customWidth="1"/>
    <col min="11254" max="11254" width="12.140625" style="536" customWidth="1"/>
    <col min="11255" max="11255" width="52" style="536" customWidth="1"/>
    <col min="11256" max="11256" width="4.42578125" style="536" customWidth="1"/>
    <col min="11257" max="11257" width="19.42578125" style="536" customWidth="1"/>
    <col min="11258" max="11258" width="1.85546875" style="536" customWidth="1"/>
    <col min="11259" max="11259" width="14.140625" style="536" customWidth="1"/>
    <col min="11260" max="11260" width="2" style="536"/>
    <col min="11261" max="11261" width="15" style="536" customWidth="1"/>
    <col min="11262" max="11262" width="1.5703125" style="536" customWidth="1"/>
    <col min="11263" max="11263" width="13.140625" style="536" customWidth="1"/>
    <col min="11264" max="11264" width="2" style="536"/>
    <col min="11265" max="11265" width="0.7109375" style="536" customWidth="1"/>
    <col min="11266" max="11266" width="13.42578125" style="536" customWidth="1"/>
    <col min="11267" max="11267" width="107.85546875" style="536" customWidth="1"/>
    <col min="11268" max="11268" width="22" style="536" customWidth="1"/>
    <col min="11269" max="11269" width="51.140625" style="536" customWidth="1"/>
    <col min="11270" max="11508" width="8.85546875" style="536" customWidth="1"/>
    <col min="11509" max="11509" width="1" style="536" customWidth="1"/>
    <col min="11510" max="11510" width="12.140625" style="536" customWidth="1"/>
    <col min="11511" max="11511" width="52" style="536" customWidth="1"/>
    <col min="11512" max="11512" width="4.42578125" style="536" customWidth="1"/>
    <col min="11513" max="11513" width="19.42578125" style="536" customWidth="1"/>
    <col min="11514" max="11514" width="1.85546875" style="536" customWidth="1"/>
    <col min="11515" max="11515" width="14.140625" style="536" customWidth="1"/>
    <col min="11516" max="11516" width="2" style="536"/>
    <col min="11517" max="11517" width="15" style="536" customWidth="1"/>
    <col min="11518" max="11518" width="1.5703125" style="536" customWidth="1"/>
    <col min="11519" max="11519" width="13.140625" style="536" customWidth="1"/>
    <col min="11520" max="11520" width="2" style="536"/>
    <col min="11521" max="11521" width="0.7109375" style="536" customWidth="1"/>
    <col min="11522" max="11522" width="13.42578125" style="536" customWidth="1"/>
    <col min="11523" max="11523" width="107.85546875" style="536" customWidth="1"/>
    <col min="11524" max="11524" width="22" style="536" customWidth="1"/>
    <col min="11525" max="11525" width="51.140625" style="536" customWidth="1"/>
    <col min="11526" max="11764" width="8.85546875" style="536" customWidth="1"/>
    <col min="11765" max="11765" width="1" style="536" customWidth="1"/>
    <col min="11766" max="11766" width="12.140625" style="536" customWidth="1"/>
    <col min="11767" max="11767" width="52" style="536" customWidth="1"/>
    <col min="11768" max="11768" width="4.42578125" style="536" customWidth="1"/>
    <col min="11769" max="11769" width="19.42578125" style="536" customWidth="1"/>
    <col min="11770" max="11770" width="1.85546875" style="536" customWidth="1"/>
    <col min="11771" max="11771" width="14.140625" style="536" customWidth="1"/>
    <col min="11772" max="11772" width="2" style="536"/>
    <col min="11773" max="11773" width="15" style="536" customWidth="1"/>
    <col min="11774" max="11774" width="1.5703125" style="536" customWidth="1"/>
    <col min="11775" max="11775" width="13.140625" style="536" customWidth="1"/>
    <col min="11776" max="11776" width="2" style="536"/>
    <col min="11777" max="11777" width="0.7109375" style="536" customWidth="1"/>
    <col min="11778" max="11778" width="13.42578125" style="536" customWidth="1"/>
    <col min="11779" max="11779" width="107.85546875" style="536" customWidth="1"/>
    <col min="11780" max="11780" width="22" style="536" customWidth="1"/>
    <col min="11781" max="11781" width="51.140625" style="536" customWidth="1"/>
    <col min="11782" max="12020" width="8.85546875" style="536" customWidth="1"/>
    <col min="12021" max="12021" width="1" style="536" customWidth="1"/>
    <col min="12022" max="12022" width="12.140625" style="536" customWidth="1"/>
    <col min="12023" max="12023" width="52" style="536" customWidth="1"/>
    <col min="12024" max="12024" width="4.42578125" style="536" customWidth="1"/>
    <col min="12025" max="12025" width="19.42578125" style="536" customWidth="1"/>
    <col min="12026" max="12026" width="1.85546875" style="536" customWidth="1"/>
    <col min="12027" max="12027" width="14.140625" style="536" customWidth="1"/>
    <col min="12028" max="12028" width="2" style="536"/>
    <col min="12029" max="12029" width="15" style="536" customWidth="1"/>
    <col min="12030" max="12030" width="1.5703125" style="536" customWidth="1"/>
    <col min="12031" max="12031" width="13.140625" style="536" customWidth="1"/>
    <col min="12032" max="12032" width="2" style="536"/>
    <col min="12033" max="12033" width="0.7109375" style="536" customWidth="1"/>
    <col min="12034" max="12034" width="13.42578125" style="536" customWidth="1"/>
    <col min="12035" max="12035" width="107.85546875" style="536" customWidth="1"/>
    <col min="12036" max="12036" width="22" style="536" customWidth="1"/>
    <col min="12037" max="12037" width="51.140625" style="536" customWidth="1"/>
    <col min="12038" max="12276" width="8.85546875" style="536" customWidth="1"/>
    <col min="12277" max="12277" width="1" style="536" customWidth="1"/>
    <col min="12278" max="12278" width="12.140625" style="536" customWidth="1"/>
    <col min="12279" max="12279" width="52" style="536" customWidth="1"/>
    <col min="12280" max="12280" width="4.42578125" style="536" customWidth="1"/>
    <col min="12281" max="12281" width="19.42578125" style="536" customWidth="1"/>
    <col min="12282" max="12282" width="1.85546875" style="536" customWidth="1"/>
    <col min="12283" max="12283" width="14.140625" style="536" customWidth="1"/>
    <col min="12284" max="12284" width="2" style="536"/>
    <col min="12285" max="12285" width="15" style="536" customWidth="1"/>
    <col min="12286" max="12286" width="1.5703125" style="536" customWidth="1"/>
    <col min="12287" max="12287" width="13.140625" style="536" customWidth="1"/>
    <col min="12288" max="12288" width="2" style="536"/>
    <col min="12289" max="12289" width="0.7109375" style="536" customWidth="1"/>
    <col min="12290" max="12290" width="13.42578125" style="536" customWidth="1"/>
    <col min="12291" max="12291" width="107.85546875" style="536" customWidth="1"/>
    <col min="12292" max="12292" width="22" style="536" customWidth="1"/>
    <col min="12293" max="12293" width="51.140625" style="536" customWidth="1"/>
    <col min="12294" max="12532" width="8.85546875" style="536" customWidth="1"/>
    <col min="12533" max="12533" width="1" style="536" customWidth="1"/>
    <col min="12534" max="12534" width="12.140625" style="536" customWidth="1"/>
    <col min="12535" max="12535" width="52" style="536" customWidth="1"/>
    <col min="12536" max="12536" width="4.42578125" style="536" customWidth="1"/>
    <col min="12537" max="12537" width="19.42578125" style="536" customWidth="1"/>
    <col min="12538" max="12538" width="1.85546875" style="536" customWidth="1"/>
    <col min="12539" max="12539" width="14.140625" style="536" customWidth="1"/>
    <col min="12540" max="12540" width="2" style="536"/>
    <col min="12541" max="12541" width="15" style="536" customWidth="1"/>
    <col min="12542" max="12542" width="1.5703125" style="536" customWidth="1"/>
    <col min="12543" max="12543" width="13.140625" style="536" customWidth="1"/>
    <col min="12544" max="12544" width="2" style="536"/>
    <col min="12545" max="12545" width="0.7109375" style="536" customWidth="1"/>
    <col min="12546" max="12546" width="13.42578125" style="536" customWidth="1"/>
    <col min="12547" max="12547" width="107.85546875" style="536" customWidth="1"/>
    <col min="12548" max="12548" width="22" style="536" customWidth="1"/>
    <col min="12549" max="12549" width="51.140625" style="536" customWidth="1"/>
    <col min="12550" max="12788" width="8.85546875" style="536" customWidth="1"/>
    <col min="12789" max="12789" width="1" style="536" customWidth="1"/>
    <col min="12790" max="12790" width="12.140625" style="536" customWidth="1"/>
    <col min="12791" max="12791" width="52" style="536" customWidth="1"/>
    <col min="12792" max="12792" width="4.42578125" style="536" customWidth="1"/>
    <col min="12793" max="12793" width="19.42578125" style="536" customWidth="1"/>
    <col min="12794" max="12794" width="1.85546875" style="536" customWidth="1"/>
    <col min="12795" max="12795" width="14.140625" style="536" customWidth="1"/>
    <col min="12796" max="12796" width="2" style="536"/>
    <col min="12797" max="12797" width="15" style="536" customWidth="1"/>
    <col min="12798" max="12798" width="1.5703125" style="536" customWidth="1"/>
    <col min="12799" max="12799" width="13.140625" style="536" customWidth="1"/>
    <col min="12800" max="12800" width="2" style="536"/>
    <col min="12801" max="12801" width="0.7109375" style="536" customWidth="1"/>
    <col min="12802" max="12802" width="13.42578125" style="536" customWidth="1"/>
    <col min="12803" max="12803" width="107.85546875" style="536" customWidth="1"/>
    <col min="12804" max="12804" width="22" style="536" customWidth="1"/>
    <col min="12805" max="12805" width="51.140625" style="536" customWidth="1"/>
    <col min="12806" max="13044" width="8.85546875" style="536" customWidth="1"/>
    <col min="13045" max="13045" width="1" style="536" customWidth="1"/>
    <col min="13046" max="13046" width="12.140625" style="536" customWidth="1"/>
    <col min="13047" max="13047" width="52" style="536" customWidth="1"/>
    <col min="13048" max="13048" width="4.42578125" style="536" customWidth="1"/>
    <col min="13049" max="13049" width="19.42578125" style="536" customWidth="1"/>
    <col min="13050" max="13050" width="1.85546875" style="536" customWidth="1"/>
    <col min="13051" max="13051" width="14.140625" style="536" customWidth="1"/>
    <col min="13052" max="13052" width="2" style="536"/>
    <col min="13053" max="13053" width="15" style="536" customWidth="1"/>
    <col min="13054" max="13054" width="1.5703125" style="536" customWidth="1"/>
    <col min="13055" max="13055" width="13.140625" style="536" customWidth="1"/>
    <col min="13056" max="13056" width="2" style="536"/>
    <col min="13057" max="13057" width="0.7109375" style="536" customWidth="1"/>
    <col min="13058" max="13058" width="13.42578125" style="536" customWidth="1"/>
    <col min="13059" max="13059" width="107.85546875" style="536" customWidth="1"/>
    <col min="13060" max="13060" width="22" style="536" customWidth="1"/>
    <col min="13061" max="13061" width="51.140625" style="536" customWidth="1"/>
    <col min="13062" max="13300" width="8.85546875" style="536" customWidth="1"/>
    <col min="13301" max="13301" width="1" style="536" customWidth="1"/>
    <col min="13302" max="13302" width="12.140625" style="536" customWidth="1"/>
    <col min="13303" max="13303" width="52" style="536" customWidth="1"/>
    <col min="13304" max="13304" width="4.42578125" style="536" customWidth="1"/>
    <col min="13305" max="13305" width="19.42578125" style="536" customWidth="1"/>
    <col min="13306" max="13306" width="1.85546875" style="536" customWidth="1"/>
    <col min="13307" max="13307" width="14.140625" style="536" customWidth="1"/>
    <col min="13308" max="13308" width="2" style="536"/>
    <col min="13309" max="13309" width="15" style="536" customWidth="1"/>
    <col min="13310" max="13310" width="1.5703125" style="536" customWidth="1"/>
    <col min="13311" max="13311" width="13.140625" style="536" customWidth="1"/>
    <col min="13312" max="13312" width="2" style="536"/>
    <col min="13313" max="13313" width="0.7109375" style="536" customWidth="1"/>
    <col min="13314" max="13314" width="13.42578125" style="536" customWidth="1"/>
    <col min="13315" max="13315" width="107.85546875" style="536" customWidth="1"/>
    <col min="13316" max="13316" width="22" style="536" customWidth="1"/>
    <col min="13317" max="13317" width="51.140625" style="536" customWidth="1"/>
    <col min="13318" max="13556" width="8.85546875" style="536" customWidth="1"/>
    <col min="13557" max="13557" width="1" style="536" customWidth="1"/>
    <col min="13558" max="13558" width="12.140625" style="536" customWidth="1"/>
    <col min="13559" max="13559" width="52" style="536" customWidth="1"/>
    <col min="13560" max="13560" width="4.42578125" style="536" customWidth="1"/>
    <col min="13561" max="13561" width="19.42578125" style="536" customWidth="1"/>
    <col min="13562" max="13562" width="1.85546875" style="536" customWidth="1"/>
    <col min="13563" max="13563" width="14.140625" style="536" customWidth="1"/>
    <col min="13564" max="13564" width="2" style="536"/>
    <col min="13565" max="13565" width="15" style="536" customWidth="1"/>
    <col min="13566" max="13566" width="1.5703125" style="536" customWidth="1"/>
    <col min="13567" max="13567" width="13.140625" style="536" customWidth="1"/>
    <col min="13568" max="13568" width="2" style="536"/>
    <col min="13569" max="13569" width="0.7109375" style="536" customWidth="1"/>
    <col min="13570" max="13570" width="13.42578125" style="536" customWidth="1"/>
    <col min="13571" max="13571" width="107.85546875" style="536" customWidth="1"/>
    <col min="13572" max="13572" width="22" style="536" customWidth="1"/>
    <col min="13573" max="13573" width="51.140625" style="536" customWidth="1"/>
    <col min="13574" max="13812" width="8.85546875" style="536" customWidth="1"/>
    <col min="13813" max="13813" width="1" style="536" customWidth="1"/>
    <col min="13814" max="13814" width="12.140625" style="536" customWidth="1"/>
    <col min="13815" max="13815" width="52" style="536" customWidth="1"/>
    <col min="13816" max="13816" width="4.42578125" style="536" customWidth="1"/>
    <col min="13817" max="13817" width="19.42578125" style="536" customWidth="1"/>
    <col min="13818" max="13818" width="1.85546875" style="536" customWidth="1"/>
    <col min="13819" max="13819" width="14.140625" style="536" customWidth="1"/>
    <col min="13820" max="13820" width="2" style="536"/>
    <col min="13821" max="13821" width="15" style="536" customWidth="1"/>
    <col min="13822" max="13822" width="1.5703125" style="536" customWidth="1"/>
    <col min="13823" max="13823" width="13.140625" style="536" customWidth="1"/>
    <col min="13824" max="13824" width="2" style="536"/>
    <col min="13825" max="13825" width="0.7109375" style="536" customWidth="1"/>
    <col min="13826" max="13826" width="13.42578125" style="536" customWidth="1"/>
    <col min="13827" max="13827" width="107.85546875" style="536" customWidth="1"/>
    <col min="13828" max="13828" width="22" style="536" customWidth="1"/>
    <col min="13829" max="13829" width="51.140625" style="536" customWidth="1"/>
    <col min="13830" max="14068" width="8.85546875" style="536" customWidth="1"/>
    <col min="14069" max="14069" width="1" style="536" customWidth="1"/>
    <col min="14070" max="14070" width="12.140625" style="536" customWidth="1"/>
    <col min="14071" max="14071" width="52" style="536" customWidth="1"/>
    <col min="14072" max="14072" width="4.42578125" style="536" customWidth="1"/>
    <col min="14073" max="14073" width="19.42578125" style="536" customWidth="1"/>
    <col min="14074" max="14074" width="1.85546875" style="536" customWidth="1"/>
    <col min="14075" max="14075" width="14.140625" style="536" customWidth="1"/>
    <col min="14076" max="14076" width="2" style="536"/>
    <col min="14077" max="14077" width="15" style="536" customWidth="1"/>
    <col min="14078" max="14078" width="1.5703125" style="536" customWidth="1"/>
    <col min="14079" max="14079" width="13.140625" style="536" customWidth="1"/>
    <col min="14080" max="14080" width="2" style="536"/>
    <col min="14081" max="14081" width="0.7109375" style="536" customWidth="1"/>
    <col min="14082" max="14082" width="13.42578125" style="536" customWidth="1"/>
    <col min="14083" max="14083" width="107.85546875" style="536" customWidth="1"/>
    <col min="14084" max="14084" width="22" style="536" customWidth="1"/>
    <col min="14085" max="14085" width="51.140625" style="536" customWidth="1"/>
    <col min="14086" max="14324" width="8.85546875" style="536" customWidth="1"/>
    <col min="14325" max="14325" width="1" style="536" customWidth="1"/>
    <col min="14326" max="14326" width="12.140625" style="536" customWidth="1"/>
    <col min="14327" max="14327" width="52" style="536" customWidth="1"/>
    <col min="14328" max="14328" width="4.42578125" style="536" customWidth="1"/>
    <col min="14329" max="14329" width="19.42578125" style="536" customWidth="1"/>
    <col min="14330" max="14330" width="1.85546875" style="536" customWidth="1"/>
    <col min="14331" max="14331" width="14.140625" style="536" customWidth="1"/>
    <col min="14332" max="14332" width="2" style="536"/>
    <col min="14333" max="14333" width="15" style="536" customWidth="1"/>
    <col min="14334" max="14334" width="1.5703125" style="536" customWidth="1"/>
    <col min="14335" max="14335" width="13.140625" style="536" customWidth="1"/>
    <col min="14336" max="14336" width="2" style="536"/>
    <col min="14337" max="14337" width="0.7109375" style="536" customWidth="1"/>
    <col min="14338" max="14338" width="13.42578125" style="536" customWidth="1"/>
    <col min="14339" max="14339" width="107.85546875" style="536" customWidth="1"/>
    <col min="14340" max="14340" width="22" style="536" customWidth="1"/>
    <col min="14341" max="14341" width="51.140625" style="536" customWidth="1"/>
    <col min="14342" max="14580" width="8.85546875" style="536" customWidth="1"/>
    <col min="14581" max="14581" width="1" style="536" customWidth="1"/>
    <col min="14582" max="14582" width="12.140625" style="536" customWidth="1"/>
    <col min="14583" max="14583" width="52" style="536" customWidth="1"/>
    <col min="14584" max="14584" width="4.42578125" style="536" customWidth="1"/>
    <col min="14585" max="14585" width="19.42578125" style="536" customWidth="1"/>
    <col min="14586" max="14586" width="1.85546875" style="536" customWidth="1"/>
    <col min="14587" max="14587" width="14.140625" style="536" customWidth="1"/>
    <col min="14588" max="14588" width="2" style="536"/>
    <col min="14589" max="14589" width="15" style="536" customWidth="1"/>
    <col min="14590" max="14590" width="1.5703125" style="536" customWidth="1"/>
    <col min="14591" max="14591" width="13.140625" style="536" customWidth="1"/>
    <col min="14592" max="14592" width="2" style="536"/>
    <col min="14593" max="14593" width="0.7109375" style="536" customWidth="1"/>
    <col min="14594" max="14594" width="13.42578125" style="536" customWidth="1"/>
    <col min="14595" max="14595" width="107.85546875" style="536" customWidth="1"/>
    <col min="14596" max="14596" width="22" style="536" customWidth="1"/>
    <col min="14597" max="14597" width="51.140625" style="536" customWidth="1"/>
    <col min="14598" max="14836" width="8.85546875" style="536" customWidth="1"/>
    <col min="14837" max="14837" width="1" style="536" customWidth="1"/>
    <col min="14838" max="14838" width="12.140625" style="536" customWidth="1"/>
    <col min="14839" max="14839" width="52" style="536" customWidth="1"/>
    <col min="14840" max="14840" width="4.42578125" style="536" customWidth="1"/>
    <col min="14841" max="14841" width="19.42578125" style="536" customWidth="1"/>
    <col min="14842" max="14842" width="1.85546875" style="536" customWidth="1"/>
    <col min="14843" max="14843" width="14.140625" style="536" customWidth="1"/>
    <col min="14844" max="14844" width="2" style="536"/>
    <col min="14845" max="14845" width="15" style="536" customWidth="1"/>
    <col min="14846" max="14846" width="1.5703125" style="536" customWidth="1"/>
    <col min="14847" max="14847" width="13.140625" style="536" customWidth="1"/>
    <col min="14848" max="14848" width="2" style="536"/>
    <col min="14849" max="14849" width="0.7109375" style="536" customWidth="1"/>
    <col min="14850" max="14850" width="13.42578125" style="536" customWidth="1"/>
    <col min="14851" max="14851" width="107.85546875" style="536" customWidth="1"/>
    <col min="14852" max="14852" width="22" style="536" customWidth="1"/>
    <col min="14853" max="14853" width="51.140625" style="536" customWidth="1"/>
    <col min="14854" max="15092" width="8.85546875" style="536" customWidth="1"/>
    <col min="15093" max="15093" width="1" style="536" customWidth="1"/>
    <col min="15094" max="15094" width="12.140625" style="536" customWidth="1"/>
    <col min="15095" max="15095" width="52" style="536" customWidth="1"/>
    <col min="15096" max="15096" width="4.42578125" style="536" customWidth="1"/>
    <col min="15097" max="15097" width="19.42578125" style="536" customWidth="1"/>
    <col min="15098" max="15098" width="1.85546875" style="536" customWidth="1"/>
    <col min="15099" max="15099" width="14.140625" style="536" customWidth="1"/>
    <col min="15100" max="15100" width="2" style="536"/>
    <col min="15101" max="15101" width="15" style="536" customWidth="1"/>
    <col min="15102" max="15102" width="1.5703125" style="536" customWidth="1"/>
    <col min="15103" max="15103" width="13.140625" style="536" customWidth="1"/>
    <col min="15104" max="15104" width="2" style="536"/>
    <col min="15105" max="15105" width="0.7109375" style="536" customWidth="1"/>
    <col min="15106" max="15106" width="13.42578125" style="536" customWidth="1"/>
    <col min="15107" max="15107" width="107.85546875" style="536" customWidth="1"/>
    <col min="15108" max="15108" width="22" style="536" customWidth="1"/>
    <col min="15109" max="15109" width="51.140625" style="536" customWidth="1"/>
    <col min="15110" max="15348" width="8.85546875" style="536" customWidth="1"/>
    <col min="15349" max="15349" width="1" style="536" customWidth="1"/>
    <col min="15350" max="15350" width="12.140625" style="536" customWidth="1"/>
    <col min="15351" max="15351" width="52" style="536" customWidth="1"/>
    <col min="15352" max="15352" width="4.42578125" style="536" customWidth="1"/>
    <col min="15353" max="15353" width="19.42578125" style="536" customWidth="1"/>
    <col min="15354" max="15354" width="1.85546875" style="536" customWidth="1"/>
    <col min="15355" max="15355" width="14.140625" style="536" customWidth="1"/>
    <col min="15356" max="15356" width="2" style="536"/>
    <col min="15357" max="15357" width="15" style="536" customWidth="1"/>
    <col min="15358" max="15358" width="1.5703125" style="536" customWidth="1"/>
    <col min="15359" max="15359" width="13.140625" style="536" customWidth="1"/>
    <col min="15360" max="15360" width="2" style="536"/>
    <col min="15361" max="15361" width="0.7109375" style="536" customWidth="1"/>
    <col min="15362" max="15362" width="13.42578125" style="536" customWidth="1"/>
    <col min="15363" max="15363" width="107.85546875" style="536" customWidth="1"/>
    <col min="15364" max="15364" width="22" style="536" customWidth="1"/>
    <col min="15365" max="15365" width="51.140625" style="536" customWidth="1"/>
    <col min="15366" max="15604" width="8.85546875" style="536" customWidth="1"/>
    <col min="15605" max="15605" width="1" style="536" customWidth="1"/>
    <col min="15606" max="15606" width="12.140625" style="536" customWidth="1"/>
    <col min="15607" max="15607" width="52" style="536" customWidth="1"/>
    <col min="15608" max="15608" width="4.42578125" style="536" customWidth="1"/>
    <col min="15609" max="15609" width="19.42578125" style="536" customWidth="1"/>
    <col min="15610" max="15610" width="1.85546875" style="536" customWidth="1"/>
    <col min="15611" max="15611" width="14.140625" style="536" customWidth="1"/>
    <col min="15612" max="15612" width="2" style="536"/>
    <col min="15613" max="15613" width="15" style="536" customWidth="1"/>
    <col min="15614" max="15614" width="1.5703125" style="536" customWidth="1"/>
    <col min="15615" max="15615" width="13.140625" style="536" customWidth="1"/>
    <col min="15616" max="15616" width="2" style="536"/>
    <col min="15617" max="15617" width="0.7109375" style="536" customWidth="1"/>
    <col min="15618" max="15618" width="13.42578125" style="536" customWidth="1"/>
    <col min="15619" max="15619" width="107.85546875" style="536" customWidth="1"/>
    <col min="15620" max="15620" width="22" style="536" customWidth="1"/>
    <col min="15621" max="15621" width="51.140625" style="536" customWidth="1"/>
    <col min="15622" max="15860" width="8.85546875" style="536" customWidth="1"/>
    <col min="15861" max="15861" width="1" style="536" customWidth="1"/>
    <col min="15862" max="15862" width="12.140625" style="536" customWidth="1"/>
    <col min="15863" max="15863" width="52" style="536" customWidth="1"/>
    <col min="15864" max="15864" width="4.42578125" style="536" customWidth="1"/>
    <col min="15865" max="15865" width="19.42578125" style="536" customWidth="1"/>
    <col min="15866" max="15866" width="1.85546875" style="536" customWidth="1"/>
    <col min="15867" max="15867" width="14.140625" style="536" customWidth="1"/>
    <col min="15868" max="15868" width="2" style="536"/>
    <col min="15869" max="15869" width="15" style="536" customWidth="1"/>
    <col min="15870" max="15870" width="1.5703125" style="536" customWidth="1"/>
    <col min="15871" max="15871" width="13.140625" style="536" customWidth="1"/>
    <col min="15872" max="15872" width="2" style="536"/>
    <col min="15873" max="15873" width="0.7109375" style="536" customWidth="1"/>
    <col min="15874" max="15874" width="13.42578125" style="536" customWidth="1"/>
    <col min="15875" max="15875" width="107.85546875" style="536" customWidth="1"/>
    <col min="15876" max="15876" width="22" style="536" customWidth="1"/>
    <col min="15877" max="15877" width="51.140625" style="536" customWidth="1"/>
    <col min="15878" max="16116" width="8.85546875" style="536" customWidth="1"/>
    <col min="16117" max="16117" width="1" style="536" customWidth="1"/>
    <col min="16118" max="16118" width="12.140625" style="536" customWidth="1"/>
    <col min="16119" max="16119" width="52" style="536" customWidth="1"/>
    <col min="16120" max="16120" width="4.42578125" style="536" customWidth="1"/>
    <col min="16121" max="16121" width="19.42578125" style="536" customWidth="1"/>
    <col min="16122" max="16122" width="1.85546875" style="536" customWidth="1"/>
    <col min="16123" max="16123" width="14.140625" style="536" customWidth="1"/>
    <col min="16124" max="16124" width="2" style="536"/>
    <col min="16125" max="16125" width="15" style="536" customWidth="1"/>
    <col min="16126" max="16126" width="1.5703125" style="536" customWidth="1"/>
    <col min="16127" max="16127" width="13.140625" style="536" customWidth="1"/>
    <col min="16128" max="16128" width="2" style="536"/>
    <col min="16129" max="16129" width="0.7109375" style="536" customWidth="1"/>
    <col min="16130" max="16130" width="13.42578125" style="536" customWidth="1"/>
    <col min="16131" max="16131" width="107.85546875" style="536" customWidth="1"/>
    <col min="16132" max="16132" width="22" style="536" customWidth="1"/>
    <col min="16133" max="16133" width="51.140625" style="536" customWidth="1"/>
    <col min="16134" max="16372" width="8.85546875" style="536" customWidth="1"/>
    <col min="16373" max="16373" width="1" style="536" customWidth="1"/>
    <col min="16374" max="16374" width="12.140625" style="536" customWidth="1"/>
    <col min="16375" max="16375" width="52" style="536" customWidth="1"/>
    <col min="16376" max="16376" width="4.42578125" style="536" customWidth="1"/>
    <col min="16377" max="16377" width="19.42578125" style="536" customWidth="1"/>
    <col min="16378" max="16378" width="1.85546875" style="536" customWidth="1"/>
    <col min="16379" max="16379" width="14.140625" style="536" customWidth="1"/>
    <col min="16380" max="16380" width="2" style="536"/>
    <col min="16381" max="16381" width="15" style="536" customWidth="1"/>
    <col min="16382" max="16382" width="1.5703125" style="536" customWidth="1"/>
    <col min="16383" max="16383" width="13.140625" style="536" customWidth="1"/>
    <col min="16384" max="16384" width="2" style="536"/>
  </cols>
  <sheetData>
    <row r="1" spans="1:256" ht="15" x14ac:dyDescent="0.25">
      <c r="B1" s="535" t="s">
        <v>449</v>
      </c>
      <c r="D1" s="537"/>
    </row>
    <row r="2" spans="1:256" x14ac:dyDescent="0.2">
      <c r="B2" s="539" t="s">
        <v>113</v>
      </c>
      <c r="D2" s="539"/>
    </row>
    <row r="3" spans="1:256" x14ac:dyDescent="0.2">
      <c r="B3" s="536"/>
    </row>
    <row r="4" spans="1:256" x14ac:dyDescent="0.2">
      <c r="B4" s="539" t="s">
        <v>450</v>
      </c>
      <c r="D4" s="539"/>
    </row>
    <row r="5" spans="1:256" x14ac:dyDescent="0.2">
      <c r="B5" s="540"/>
      <c r="D5" s="539"/>
    </row>
    <row r="6" spans="1:256" x14ac:dyDescent="0.2">
      <c r="A6" s="567"/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8"/>
      <c r="Z6" s="568"/>
      <c r="AA6" s="568"/>
      <c r="AB6" s="568"/>
      <c r="AC6" s="568"/>
      <c r="AD6" s="568"/>
      <c r="AE6" s="568"/>
      <c r="AF6" s="568"/>
      <c r="AG6" s="568"/>
      <c r="AH6" s="568"/>
      <c r="AI6" s="568"/>
      <c r="AJ6" s="568"/>
      <c r="AK6" s="568"/>
      <c r="AL6" s="568"/>
      <c r="AM6" s="568"/>
      <c r="AN6" s="568"/>
      <c r="AO6" s="568"/>
      <c r="AP6" s="568"/>
      <c r="AQ6" s="568"/>
      <c r="AR6" s="568"/>
      <c r="AS6" s="568"/>
      <c r="AT6" s="568"/>
      <c r="AU6" s="568"/>
      <c r="AV6" s="568"/>
      <c r="AW6" s="568"/>
      <c r="AX6" s="569"/>
      <c r="AY6" s="569"/>
      <c r="AZ6" s="569"/>
      <c r="BA6" s="569"/>
      <c r="BB6" s="569"/>
      <c r="BC6" s="569"/>
      <c r="BD6" s="569"/>
      <c r="BE6" s="569"/>
      <c r="BF6" s="569"/>
      <c r="BG6" s="569"/>
      <c r="BH6" s="569"/>
      <c r="BI6" s="569"/>
      <c r="BJ6" s="569"/>
      <c r="BK6" s="569"/>
      <c r="BL6" s="569"/>
      <c r="BM6" s="569"/>
      <c r="BN6" s="569"/>
      <c r="BO6" s="569"/>
      <c r="BP6" s="569"/>
      <c r="BQ6" s="569"/>
      <c r="BR6" s="569"/>
      <c r="BS6" s="569"/>
      <c r="BT6" s="569"/>
      <c r="BU6" s="569"/>
      <c r="BV6" s="569"/>
      <c r="BW6" s="569"/>
      <c r="BX6" s="569"/>
      <c r="BY6" s="569"/>
      <c r="BZ6" s="569"/>
      <c r="CA6" s="569"/>
      <c r="CB6" s="569"/>
      <c r="CC6" s="569"/>
      <c r="CD6" s="569"/>
      <c r="CE6" s="569"/>
      <c r="CF6" s="569"/>
      <c r="CG6" s="569"/>
      <c r="CH6" s="569"/>
      <c r="CI6" s="569"/>
      <c r="CJ6" s="569"/>
      <c r="CK6" s="569"/>
      <c r="CL6" s="569"/>
      <c r="CM6" s="569"/>
      <c r="CN6" s="569"/>
      <c r="CO6" s="569"/>
      <c r="CP6" s="569"/>
      <c r="CQ6" s="569"/>
      <c r="CR6" s="569"/>
      <c r="CS6" s="569"/>
      <c r="CT6" s="569"/>
      <c r="CU6" s="569"/>
      <c r="CV6" s="569"/>
      <c r="CW6" s="569"/>
      <c r="CX6" s="569"/>
      <c r="CY6" s="569"/>
      <c r="CZ6" s="569"/>
      <c r="DA6" s="569"/>
      <c r="DB6" s="569"/>
      <c r="DC6" s="569"/>
      <c r="DD6" s="569"/>
      <c r="DE6" s="569"/>
      <c r="DF6" s="569"/>
      <c r="DG6" s="569"/>
      <c r="DH6" s="569"/>
      <c r="DI6" s="569"/>
      <c r="DJ6" s="569"/>
      <c r="DK6" s="569"/>
      <c r="DL6" s="569"/>
      <c r="DM6" s="569"/>
      <c r="DN6" s="569"/>
      <c r="DO6" s="569"/>
      <c r="DP6" s="569"/>
      <c r="DQ6" s="569"/>
      <c r="DR6" s="569"/>
      <c r="DS6" s="569"/>
      <c r="DT6" s="569"/>
      <c r="DU6" s="569"/>
      <c r="DV6" s="569"/>
      <c r="DW6" s="569"/>
      <c r="DX6" s="569"/>
      <c r="DY6" s="569"/>
      <c r="DZ6" s="569"/>
      <c r="EA6" s="569"/>
      <c r="EB6" s="569"/>
      <c r="EC6" s="569"/>
      <c r="ED6" s="569"/>
      <c r="EE6" s="569"/>
      <c r="EF6" s="569"/>
      <c r="EG6" s="569"/>
      <c r="EH6" s="569"/>
      <c r="EI6" s="569"/>
      <c r="EJ6" s="569"/>
      <c r="EK6" s="569"/>
      <c r="EL6" s="569"/>
      <c r="EM6" s="569"/>
      <c r="EN6" s="569"/>
      <c r="EO6" s="569"/>
      <c r="EP6" s="569"/>
      <c r="EQ6" s="569"/>
      <c r="ER6" s="569"/>
      <c r="ES6" s="569"/>
      <c r="ET6" s="569"/>
      <c r="EU6" s="569"/>
      <c r="EV6" s="569"/>
      <c r="EW6" s="569"/>
      <c r="EX6" s="569"/>
      <c r="EY6" s="569"/>
      <c r="EZ6" s="569"/>
      <c r="FA6" s="569"/>
      <c r="FB6" s="569"/>
      <c r="FC6" s="569"/>
      <c r="FD6" s="569"/>
      <c r="FE6" s="569"/>
      <c r="FF6" s="569"/>
      <c r="FG6" s="569"/>
      <c r="FH6" s="569"/>
      <c r="FI6" s="569"/>
      <c r="FJ6" s="569"/>
      <c r="FK6" s="569"/>
      <c r="FL6" s="569"/>
      <c r="FM6" s="569"/>
      <c r="FN6" s="569"/>
      <c r="FO6" s="569"/>
      <c r="FP6" s="569"/>
      <c r="FQ6" s="569"/>
      <c r="FR6" s="569"/>
      <c r="FS6" s="569"/>
      <c r="FT6" s="569"/>
      <c r="FU6" s="569"/>
      <c r="FV6" s="569"/>
      <c r="FW6" s="569"/>
      <c r="FX6" s="569"/>
      <c r="FY6" s="569"/>
      <c r="FZ6" s="569"/>
      <c r="GA6" s="569"/>
      <c r="GB6" s="569"/>
      <c r="GC6" s="569"/>
      <c r="GD6" s="569"/>
      <c r="GE6" s="569"/>
      <c r="GF6" s="569"/>
      <c r="GG6" s="569"/>
      <c r="GH6" s="569"/>
      <c r="GI6" s="569"/>
      <c r="GJ6" s="569"/>
      <c r="GK6" s="569"/>
      <c r="GL6" s="569"/>
      <c r="GM6" s="569"/>
      <c r="GN6" s="569"/>
      <c r="GO6" s="569"/>
      <c r="GP6" s="569"/>
      <c r="GQ6" s="569"/>
      <c r="GR6" s="569"/>
      <c r="GS6" s="569"/>
      <c r="GT6" s="569"/>
      <c r="GU6" s="569"/>
      <c r="GV6" s="569"/>
      <c r="GW6" s="569"/>
      <c r="GX6" s="569"/>
      <c r="GY6" s="569"/>
      <c r="GZ6" s="569"/>
      <c r="HA6" s="569"/>
      <c r="HB6" s="569"/>
      <c r="HC6" s="569"/>
      <c r="HD6" s="569"/>
      <c r="HE6" s="569"/>
      <c r="HF6" s="569"/>
      <c r="HG6" s="569"/>
      <c r="HH6" s="569"/>
      <c r="HI6" s="569"/>
      <c r="HJ6" s="569"/>
      <c r="HK6" s="569"/>
      <c r="HL6" s="569"/>
      <c r="HM6" s="569"/>
      <c r="HN6" s="569"/>
      <c r="HO6" s="569"/>
      <c r="HP6" s="569"/>
      <c r="HQ6" s="569"/>
      <c r="HR6" s="569"/>
      <c r="HS6" s="569"/>
      <c r="HT6" s="569"/>
      <c r="HU6" s="569"/>
      <c r="HV6" s="569"/>
      <c r="HW6" s="569"/>
      <c r="HX6" s="569"/>
      <c r="HY6" s="569"/>
      <c r="HZ6" s="569"/>
      <c r="IA6" s="569"/>
      <c r="IB6" s="569"/>
      <c r="IC6" s="569"/>
      <c r="ID6" s="569"/>
      <c r="IE6" s="569"/>
      <c r="IF6" s="569"/>
      <c r="IG6" s="569"/>
      <c r="IH6" s="569"/>
      <c r="II6" s="569"/>
      <c r="IJ6" s="569"/>
      <c r="IK6" s="569"/>
      <c r="IL6" s="569"/>
      <c r="IM6" s="569"/>
      <c r="IN6" s="569"/>
      <c r="IO6" s="569"/>
      <c r="IP6" s="569"/>
      <c r="IQ6" s="569"/>
      <c r="IR6" s="569"/>
      <c r="IS6" s="569"/>
      <c r="IT6" s="569"/>
      <c r="IU6" s="569"/>
      <c r="IV6" s="569"/>
    </row>
    <row r="7" spans="1:256" x14ac:dyDescent="0.2">
      <c r="B7" s="536"/>
      <c r="CE7" s="538"/>
      <c r="CF7" s="538"/>
      <c r="CG7" s="538"/>
      <c r="CH7" s="538"/>
      <c r="CI7" s="538"/>
      <c r="CJ7" s="538"/>
      <c r="CK7" s="538"/>
      <c r="CL7" s="538"/>
      <c r="CM7" s="538"/>
      <c r="CN7" s="538"/>
      <c r="CO7" s="538"/>
      <c r="CP7" s="538"/>
      <c r="CQ7" s="538"/>
      <c r="CR7" s="538"/>
      <c r="CS7" s="538"/>
      <c r="CT7" s="538"/>
      <c r="CU7" s="538"/>
      <c r="CV7" s="538"/>
      <c r="CW7" s="538"/>
      <c r="CX7" s="538"/>
      <c r="CY7" s="538"/>
      <c r="CZ7" s="538"/>
      <c r="DA7" s="538"/>
      <c r="DB7" s="538"/>
      <c r="DC7" s="538"/>
      <c r="DD7" s="538"/>
      <c r="DE7" s="538"/>
      <c r="DF7" s="538"/>
      <c r="DG7" s="538"/>
      <c r="DH7" s="538"/>
      <c r="DI7" s="538"/>
      <c r="DJ7" s="538"/>
      <c r="DK7" s="538"/>
      <c r="DL7" s="538"/>
      <c r="DM7" s="538"/>
      <c r="DN7" s="538"/>
      <c r="DO7" s="538"/>
      <c r="DP7" s="538"/>
      <c r="DQ7" s="538"/>
      <c r="DR7" s="538"/>
      <c r="DS7" s="538"/>
      <c r="DT7" s="538"/>
      <c r="DU7" s="538"/>
      <c r="DV7" s="538"/>
      <c r="DW7" s="538"/>
      <c r="DX7" s="538"/>
      <c r="DY7" s="538"/>
      <c r="DZ7" s="538"/>
      <c r="EA7" s="538"/>
      <c r="EB7" s="538"/>
      <c r="EC7" s="538"/>
      <c r="ED7" s="538"/>
      <c r="EE7" s="538"/>
      <c r="EF7" s="538"/>
      <c r="EG7" s="538"/>
      <c r="EH7" s="538"/>
      <c r="EI7" s="538"/>
      <c r="EJ7" s="538"/>
      <c r="EK7" s="538"/>
      <c r="EL7" s="538"/>
      <c r="EM7" s="538"/>
      <c r="EN7" s="538"/>
      <c r="EO7" s="538"/>
      <c r="EP7" s="538"/>
      <c r="EQ7" s="538"/>
      <c r="ER7" s="538"/>
      <c r="ES7" s="538"/>
      <c r="ET7" s="538"/>
      <c r="EU7" s="538"/>
      <c r="EV7" s="538"/>
      <c r="EW7" s="538"/>
      <c r="EX7" s="538"/>
      <c r="EY7" s="538"/>
      <c r="EZ7" s="538"/>
      <c r="FA7" s="538"/>
      <c r="FB7" s="538"/>
      <c r="FC7" s="538"/>
      <c r="FD7" s="538"/>
      <c r="FE7" s="538"/>
      <c r="FF7" s="538"/>
      <c r="FG7" s="538"/>
      <c r="FH7" s="538"/>
      <c r="FI7" s="538"/>
      <c r="FJ7" s="538"/>
      <c r="FK7" s="538"/>
      <c r="FL7" s="538"/>
      <c r="FM7" s="538"/>
      <c r="FN7" s="538"/>
      <c r="FO7" s="538"/>
      <c r="FP7" s="538"/>
      <c r="FQ7" s="538"/>
      <c r="FR7" s="538"/>
      <c r="FS7" s="538"/>
      <c r="FT7" s="538"/>
      <c r="FU7" s="538"/>
      <c r="FV7" s="538"/>
      <c r="FW7" s="538"/>
      <c r="FX7" s="538"/>
      <c r="FY7" s="538"/>
      <c r="FZ7" s="538"/>
      <c r="GA7" s="538"/>
      <c r="GB7" s="538"/>
      <c r="GC7" s="538"/>
      <c r="GD7" s="538"/>
      <c r="GE7" s="538"/>
      <c r="GF7" s="538"/>
      <c r="GG7" s="538"/>
      <c r="GH7" s="538"/>
      <c r="GI7" s="538"/>
      <c r="GJ7" s="538"/>
      <c r="GK7" s="538"/>
      <c r="GL7" s="538"/>
      <c r="GM7" s="538"/>
      <c r="GN7" s="538"/>
      <c r="GO7" s="538"/>
      <c r="GP7" s="538"/>
      <c r="GQ7" s="538"/>
      <c r="GR7" s="538"/>
      <c r="GS7" s="538"/>
      <c r="GT7" s="538"/>
      <c r="GU7" s="538"/>
      <c r="GV7" s="538"/>
      <c r="GW7" s="538"/>
      <c r="GX7" s="538"/>
      <c r="GY7" s="538"/>
      <c r="GZ7" s="538"/>
      <c r="HA7" s="538"/>
      <c r="HB7" s="538"/>
      <c r="HC7" s="538"/>
      <c r="HD7" s="538"/>
      <c r="HE7" s="538"/>
      <c r="HF7" s="538"/>
      <c r="HG7" s="538"/>
      <c r="HH7" s="538"/>
      <c r="HI7" s="538"/>
      <c r="HJ7" s="538"/>
      <c r="HK7" s="538"/>
      <c r="HL7" s="538"/>
      <c r="HM7" s="538"/>
      <c r="HN7" s="538"/>
      <c r="HO7" s="538"/>
      <c r="HP7" s="538"/>
      <c r="HQ7" s="538"/>
      <c r="HR7" s="538"/>
      <c r="HS7" s="538"/>
      <c r="HT7" s="538"/>
      <c r="HU7" s="538"/>
      <c r="HV7" s="538"/>
      <c r="HW7" s="538"/>
      <c r="HX7" s="538"/>
      <c r="HY7" s="538"/>
      <c r="HZ7" s="538"/>
      <c r="IA7" s="538"/>
      <c r="IB7" s="538"/>
      <c r="IC7" s="538"/>
      <c r="ID7" s="538"/>
      <c r="IE7" s="538"/>
      <c r="IF7" s="538"/>
      <c r="IG7" s="538"/>
      <c r="IH7" s="538"/>
      <c r="II7" s="538"/>
      <c r="IJ7" s="538"/>
      <c r="IK7" s="538"/>
      <c r="IL7" s="538"/>
      <c r="IM7" s="538"/>
      <c r="IN7" s="538"/>
      <c r="IO7" s="538"/>
      <c r="IP7" s="538"/>
      <c r="IQ7" s="538"/>
      <c r="IR7" s="538"/>
      <c r="IS7" s="538"/>
      <c r="IT7" s="538"/>
      <c r="IU7" s="538"/>
      <c r="IV7" s="538"/>
    </row>
    <row r="8" spans="1:256" ht="13.5" thickBot="1" x14ac:dyDescent="0.25">
      <c r="C8" s="539"/>
      <c r="D8" s="570"/>
    </row>
    <row r="9" spans="1:256" ht="15" thickBot="1" x14ac:dyDescent="0.25">
      <c r="B9" s="571" t="s">
        <v>114</v>
      </c>
      <c r="C9" s="572" t="s">
        <v>132</v>
      </c>
      <c r="D9" s="573" t="s">
        <v>491</v>
      </c>
    </row>
    <row r="10" spans="1:256" s="538" customFormat="1" ht="28.5" x14ac:dyDescent="0.2">
      <c r="A10" s="534"/>
      <c r="B10" s="574" t="s">
        <v>492</v>
      </c>
      <c r="C10" s="645" t="s">
        <v>493</v>
      </c>
      <c r="D10" s="555">
        <v>80000</v>
      </c>
      <c r="AX10" s="536"/>
      <c r="AY10" s="536"/>
      <c r="AZ10" s="536"/>
      <c r="BA10" s="536"/>
      <c r="BB10" s="536"/>
      <c r="BC10" s="536"/>
      <c r="BD10" s="536"/>
      <c r="BE10" s="536"/>
      <c r="BF10" s="536"/>
      <c r="BG10" s="536"/>
      <c r="BH10" s="536"/>
      <c r="BI10" s="536"/>
      <c r="BJ10" s="536"/>
      <c r="BK10" s="536"/>
      <c r="BL10" s="536"/>
      <c r="BM10" s="536"/>
      <c r="BN10" s="536"/>
      <c r="BO10" s="536"/>
      <c r="BP10" s="536"/>
      <c r="BQ10" s="536"/>
      <c r="BR10" s="536"/>
      <c r="BS10" s="536"/>
      <c r="BT10" s="536"/>
      <c r="BU10" s="536"/>
      <c r="BV10" s="536"/>
      <c r="BW10" s="536"/>
      <c r="BX10" s="536"/>
      <c r="BY10" s="536"/>
      <c r="BZ10" s="536"/>
      <c r="CA10" s="536"/>
      <c r="CB10" s="536"/>
      <c r="CC10" s="536"/>
      <c r="CD10" s="536"/>
      <c r="CE10" s="536"/>
      <c r="CF10" s="536"/>
      <c r="CG10" s="536"/>
      <c r="CH10" s="536"/>
      <c r="CI10" s="536"/>
      <c r="CJ10" s="536"/>
      <c r="CK10" s="536"/>
      <c r="CL10" s="536"/>
      <c r="CM10" s="536"/>
      <c r="CN10" s="536"/>
      <c r="CO10" s="536"/>
      <c r="CP10" s="536"/>
      <c r="CQ10" s="536"/>
      <c r="CR10" s="536"/>
      <c r="CS10" s="536"/>
      <c r="CT10" s="536"/>
      <c r="CU10" s="536"/>
      <c r="CV10" s="536"/>
      <c r="CW10" s="536"/>
      <c r="CX10" s="536"/>
      <c r="CY10" s="536"/>
      <c r="CZ10" s="536"/>
      <c r="DA10" s="536"/>
      <c r="DB10" s="536"/>
      <c r="DC10" s="536"/>
      <c r="DD10" s="536"/>
      <c r="DE10" s="536"/>
      <c r="DF10" s="536"/>
      <c r="DG10" s="536"/>
      <c r="DH10" s="536"/>
      <c r="DI10" s="536"/>
      <c r="DJ10" s="536"/>
      <c r="DK10" s="536"/>
      <c r="DL10" s="536"/>
      <c r="DM10" s="536"/>
      <c r="DN10" s="536"/>
      <c r="DO10" s="536"/>
      <c r="DP10" s="536"/>
      <c r="DQ10" s="536"/>
      <c r="DR10" s="536"/>
      <c r="DS10" s="536"/>
      <c r="DT10" s="536"/>
      <c r="DU10" s="536"/>
      <c r="DV10" s="536"/>
      <c r="DW10" s="536"/>
      <c r="DX10" s="536"/>
      <c r="DY10" s="536"/>
      <c r="DZ10" s="536"/>
      <c r="EA10" s="536"/>
      <c r="EB10" s="536"/>
      <c r="EC10" s="536"/>
      <c r="ED10" s="536"/>
      <c r="EE10" s="536"/>
      <c r="EF10" s="536"/>
      <c r="EG10" s="536"/>
      <c r="EH10" s="536"/>
      <c r="EI10" s="536"/>
      <c r="EJ10" s="536"/>
      <c r="EK10" s="536"/>
      <c r="EL10" s="536"/>
      <c r="EM10" s="536"/>
      <c r="EN10" s="536"/>
      <c r="EO10" s="536"/>
      <c r="EP10" s="536"/>
      <c r="EQ10" s="536"/>
      <c r="ER10" s="536"/>
      <c r="ES10" s="536"/>
      <c r="ET10" s="536"/>
      <c r="EU10" s="536"/>
      <c r="EV10" s="536"/>
      <c r="EW10" s="536"/>
      <c r="EX10" s="536"/>
      <c r="EY10" s="536"/>
      <c r="EZ10" s="536"/>
      <c r="FA10" s="536"/>
      <c r="FB10" s="536"/>
      <c r="FC10" s="536"/>
      <c r="FD10" s="536"/>
      <c r="FE10" s="536"/>
      <c r="FF10" s="536"/>
      <c r="FG10" s="536"/>
      <c r="FH10" s="536"/>
      <c r="FI10" s="536"/>
      <c r="FJ10" s="536"/>
      <c r="FK10" s="536"/>
      <c r="FL10" s="536"/>
      <c r="FM10" s="536"/>
      <c r="FN10" s="536"/>
      <c r="FO10" s="536"/>
      <c r="FP10" s="536"/>
      <c r="FQ10" s="536"/>
      <c r="FR10" s="536"/>
      <c r="FS10" s="536"/>
      <c r="FT10" s="536"/>
      <c r="FU10" s="536"/>
      <c r="FV10" s="536"/>
      <c r="FW10" s="536"/>
      <c r="FX10" s="536"/>
      <c r="FY10" s="536"/>
      <c r="FZ10" s="536"/>
      <c r="GA10" s="536"/>
      <c r="GB10" s="536"/>
      <c r="GC10" s="536"/>
      <c r="GD10" s="536"/>
      <c r="GE10" s="536"/>
      <c r="GF10" s="536"/>
      <c r="GG10" s="536"/>
      <c r="GH10" s="536"/>
      <c r="GI10" s="536"/>
      <c r="GJ10" s="536"/>
      <c r="GK10" s="536"/>
      <c r="GL10" s="536"/>
      <c r="GM10" s="536"/>
      <c r="GN10" s="536"/>
      <c r="GO10" s="536"/>
      <c r="GP10" s="536"/>
      <c r="GQ10" s="536"/>
      <c r="GR10" s="536"/>
      <c r="GS10" s="536"/>
      <c r="GT10" s="536"/>
      <c r="GU10" s="536"/>
      <c r="GV10" s="536"/>
      <c r="GW10" s="536"/>
      <c r="GX10" s="536"/>
      <c r="GY10" s="536"/>
      <c r="GZ10" s="536"/>
      <c r="HA10" s="536"/>
      <c r="HB10" s="536"/>
      <c r="HC10" s="536"/>
      <c r="HD10" s="536"/>
      <c r="HE10" s="536"/>
      <c r="HF10" s="536"/>
      <c r="HG10" s="536"/>
      <c r="HH10" s="536"/>
      <c r="HI10" s="536"/>
      <c r="HJ10" s="536"/>
      <c r="HK10" s="536"/>
      <c r="HL10" s="536"/>
      <c r="HM10" s="536"/>
      <c r="HN10" s="536"/>
      <c r="HO10" s="536"/>
      <c r="HP10" s="536"/>
      <c r="HQ10" s="536"/>
      <c r="HR10" s="536"/>
      <c r="HS10" s="536"/>
      <c r="HT10" s="536"/>
      <c r="HU10" s="536"/>
      <c r="HV10" s="536"/>
      <c r="HW10" s="536"/>
      <c r="HX10" s="536"/>
      <c r="HY10" s="536"/>
      <c r="HZ10" s="536"/>
      <c r="IA10" s="536"/>
      <c r="IB10" s="536"/>
      <c r="IC10" s="536"/>
      <c r="ID10" s="536"/>
      <c r="IE10" s="536"/>
      <c r="IF10" s="536"/>
      <c r="IG10" s="536"/>
      <c r="IH10" s="536"/>
      <c r="II10" s="536"/>
      <c r="IJ10" s="536"/>
      <c r="IK10" s="536"/>
      <c r="IL10" s="536"/>
      <c r="IM10" s="536"/>
      <c r="IN10" s="536"/>
      <c r="IO10" s="536"/>
      <c r="IP10" s="536"/>
      <c r="IQ10" s="536"/>
      <c r="IR10" s="536"/>
      <c r="IS10" s="536"/>
      <c r="IT10" s="536"/>
      <c r="IU10" s="536"/>
      <c r="IV10" s="536"/>
    </row>
    <row r="11" spans="1:256" s="538" customFormat="1" ht="14.25" x14ac:dyDescent="0.2">
      <c r="A11" s="534"/>
      <c r="B11" s="575" t="s">
        <v>494</v>
      </c>
      <c r="C11" s="559" t="s">
        <v>495</v>
      </c>
      <c r="D11" s="555">
        <v>100000</v>
      </c>
      <c r="AX11" s="536"/>
      <c r="AY11" s="536"/>
      <c r="AZ11" s="536"/>
      <c r="BA11" s="536"/>
      <c r="BB11" s="536"/>
      <c r="BC11" s="536"/>
      <c r="BD11" s="536"/>
      <c r="BE11" s="536"/>
      <c r="BF11" s="536"/>
      <c r="BG11" s="536"/>
      <c r="BH11" s="536"/>
      <c r="BI11" s="536"/>
      <c r="BJ11" s="536"/>
      <c r="BK11" s="536"/>
      <c r="BL11" s="536"/>
      <c r="BM11" s="536"/>
      <c r="BN11" s="536"/>
      <c r="BO11" s="536"/>
      <c r="BP11" s="536"/>
      <c r="BQ11" s="536"/>
      <c r="BR11" s="536"/>
      <c r="BS11" s="536"/>
      <c r="BT11" s="536"/>
      <c r="BU11" s="536"/>
      <c r="BV11" s="536"/>
      <c r="BW11" s="536"/>
      <c r="BX11" s="536"/>
      <c r="BY11" s="536"/>
      <c r="BZ11" s="536"/>
      <c r="CA11" s="536"/>
      <c r="CB11" s="536"/>
      <c r="CC11" s="536"/>
      <c r="CD11" s="536"/>
      <c r="CE11" s="536"/>
      <c r="CF11" s="536"/>
      <c r="CG11" s="536"/>
      <c r="CH11" s="536"/>
      <c r="CI11" s="536"/>
      <c r="CJ11" s="536"/>
      <c r="CK11" s="536"/>
      <c r="CL11" s="536"/>
      <c r="CM11" s="536"/>
      <c r="CN11" s="536"/>
      <c r="CO11" s="536"/>
      <c r="CP11" s="536"/>
      <c r="CQ11" s="536"/>
      <c r="CR11" s="536"/>
      <c r="CS11" s="536"/>
      <c r="CT11" s="536"/>
      <c r="CU11" s="536"/>
      <c r="CV11" s="536"/>
      <c r="CW11" s="536"/>
      <c r="CX11" s="536"/>
      <c r="CY11" s="536"/>
      <c r="CZ11" s="536"/>
      <c r="DA11" s="536"/>
      <c r="DB11" s="536"/>
      <c r="DC11" s="536"/>
      <c r="DD11" s="536"/>
      <c r="DE11" s="536"/>
      <c r="DF11" s="536"/>
      <c r="DG11" s="536"/>
      <c r="DH11" s="536"/>
      <c r="DI11" s="536"/>
      <c r="DJ11" s="536"/>
      <c r="DK11" s="536"/>
      <c r="DL11" s="536"/>
      <c r="DM11" s="536"/>
      <c r="DN11" s="536"/>
      <c r="DO11" s="536"/>
      <c r="DP11" s="536"/>
      <c r="DQ11" s="536"/>
      <c r="DR11" s="536"/>
      <c r="DS11" s="536"/>
      <c r="DT11" s="536"/>
      <c r="DU11" s="536"/>
      <c r="DV11" s="536"/>
      <c r="DW11" s="536"/>
      <c r="DX11" s="536"/>
      <c r="DY11" s="536"/>
      <c r="DZ11" s="536"/>
      <c r="EA11" s="536"/>
      <c r="EB11" s="536"/>
      <c r="EC11" s="536"/>
      <c r="ED11" s="536"/>
      <c r="EE11" s="536"/>
      <c r="EF11" s="536"/>
      <c r="EG11" s="536"/>
      <c r="EH11" s="536"/>
      <c r="EI11" s="536"/>
      <c r="EJ11" s="536"/>
      <c r="EK11" s="536"/>
      <c r="EL11" s="536"/>
      <c r="EM11" s="536"/>
      <c r="EN11" s="536"/>
      <c r="EO11" s="536"/>
      <c r="EP11" s="536"/>
      <c r="EQ11" s="536"/>
      <c r="ER11" s="536"/>
      <c r="ES11" s="536"/>
      <c r="ET11" s="536"/>
      <c r="EU11" s="536"/>
      <c r="EV11" s="536"/>
      <c r="EW11" s="536"/>
      <c r="EX11" s="536"/>
      <c r="EY11" s="536"/>
      <c r="EZ11" s="536"/>
      <c r="FA11" s="536"/>
      <c r="FB11" s="536"/>
      <c r="FC11" s="536"/>
      <c r="FD11" s="536"/>
      <c r="FE11" s="536"/>
      <c r="FF11" s="536"/>
      <c r="FG11" s="536"/>
      <c r="FH11" s="536"/>
      <c r="FI11" s="536"/>
      <c r="FJ11" s="536"/>
      <c r="FK11" s="536"/>
      <c r="FL11" s="536"/>
      <c r="FM11" s="536"/>
      <c r="FN11" s="536"/>
      <c r="FO11" s="536"/>
      <c r="FP11" s="536"/>
      <c r="FQ11" s="536"/>
      <c r="FR11" s="536"/>
      <c r="FS11" s="536"/>
      <c r="FT11" s="536"/>
      <c r="FU11" s="536"/>
      <c r="FV11" s="536"/>
      <c r="FW11" s="536"/>
      <c r="FX11" s="536"/>
      <c r="FY11" s="536"/>
      <c r="FZ11" s="536"/>
      <c r="GA11" s="536"/>
      <c r="GB11" s="536"/>
      <c r="GC11" s="536"/>
      <c r="GD11" s="536"/>
      <c r="GE11" s="536"/>
      <c r="GF11" s="536"/>
      <c r="GG11" s="536"/>
      <c r="GH11" s="536"/>
      <c r="GI11" s="536"/>
      <c r="GJ11" s="536"/>
      <c r="GK11" s="536"/>
      <c r="GL11" s="536"/>
      <c r="GM11" s="536"/>
      <c r="GN11" s="536"/>
      <c r="GO11" s="536"/>
      <c r="GP11" s="536"/>
      <c r="GQ11" s="536"/>
      <c r="GR11" s="536"/>
      <c r="GS11" s="536"/>
      <c r="GT11" s="536"/>
      <c r="GU11" s="536"/>
      <c r="GV11" s="536"/>
      <c r="GW11" s="536"/>
      <c r="GX11" s="536"/>
      <c r="GY11" s="536"/>
      <c r="GZ11" s="536"/>
      <c r="HA11" s="536"/>
      <c r="HB11" s="536"/>
      <c r="HC11" s="536"/>
      <c r="HD11" s="536"/>
      <c r="HE11" s="536"/>
      <c r="HF11" s="536"/>
      <c r="HG11" s="536"/>
      <c r="HH11" s="536"/>
      <c r="HI11" s="536"/>
      <c r="HJ11" s="536"/>
      <c r="HK11" s="536"/>
      <c r="HL11" s="536"/>
      <c r="HM11" s="536"/>
      <c r="HN11" s="536"/>
      <c r="HO11" s="536"/>
      <c r="HP11" s="536"/>
      <c r="HQ11" s="536"/>
      <c r="HR11" s="536"/>
      <c r="HS11" s="536"/>
      <c r="HT11" s="536"/>
      <c r="HU11" s="536"/>
      <c r="HV11" s="536"/>
      <c r="HW11" s="536"/>
      <c r="HX11" s="536"/>
      <c r="HY11" s="536"/>
      <c r="HZ11" s="536"/>
      <c r="IA11" s="536"/>
      <c r="IB11" s="536"/>
      <c r="IC11" s="536"/>
      <c r="ID11" s="536"/>
      <c r="IE11" s="536"/>
      <c r="IF11" s="536"/>
      <c r="IG11" s="536"/>
      <c r="IH11" s="536"/>
      <c r="II11" s="536"/>
      <c r="IJ11" s="536"/>
      <c r="IK11" s="536"/>
      <c r="IL11" s="536"/>
      <c r="IM11" s="536"/>
      <c r="IN11" s="536"/>
      <c r="IO11" s="536"/>
      <c r="IP11" s="536"/>
      <c r="IQ11" s="536"/>
      <c r="IR11" s="536"/>
      <c r="IS11" s="536"/>
      <c r="IT11" s="536"/>
      <c r="IU11" s="536"/>
      <c r="IV11" s="536"/>
    </row>
    <row r="12" spans="1:256" s="538" customFormat="1" ht="14.25" x14ac:dyDescent="0.2">
      <c r="A12" s="534"/>
      <c r="B12" s="576" t="s">
        <v>496</v>
      </c>
      <c r="C12" s="577" t="s">
        <v>497</v>
      </c>
      <c r="D12" s="555">
        <v>48000</v>
      </c>
      <c r="AX12" s="536"/>
      <c r="AY12" s="536"/>
      <c r="AZ12" s="536"/>
      <c r="BA12" s="536"/>
      <c r="BB12" s="536"/>
      <c r="BC12" s="536"/>
      <c r="BD12" s="536"/>
      <c r="BE12" s="536"/>
      <c r="BF12" s="536"/>
      <c r="BG12" s="536"/>
      <c r="BH12" s="536"/>
      <c r="BI12" s="536"/>
      <c r="BJ12" s="536"/>
      <c r="BK12" s="536"/>
      <c r="BL12" s="536"/>
      <c r="BM12" s="536"/>
      <c r="BN12" s="536"/>
      <c r="BO12" s="536"/>
      <c r="BP12" s="536"/>
      <c r="BQ12" s="536"/>
      <c r="BR12" s="536"/>
      <c r="BS12" s="536"/>
      <c r="BT12" s="536"/>
      <c r="BU12" s="536"/>
      <c r="BV12" s="536"/>
      <c r="BW12" s="536"/>
      <c r="BX12" s="536"/>
      <c r="BY12" s="536"/>
      <c r="BZ12" s="536"/>
      <c r="CA12" s="536"/>
      <c r="CB12" s="536"/>
      <c r="CC12" s="536"/>
      <c r="CD12" s="536"/>
      <c r="CE12" s="536"/>
      <c r="CF12" s="536"/>
      <c r="CG12" s="536"/>
      <c r="CH12" s="536"/>
      <c r="CI12" s="536"/>
      <c r="CJ12" s="536"/>
      <c r="CK12" s="536"/>
      <c r="CL12" s="536"/>
      <c r="CM12" s="536"/>
      <c r="CN12" s="536"/>
      <c r="CO12" s="536"/>
      <c r="CP12" s="536"/>
      <c r="CQ12" s="536"/>
      <c r="CR12" s="536"/>
      <c r="CS12" s="536"/>
      <c r="CT12" s="536"/>
      <c r="CU12" s="536"/>
      <c r="CV12" s="536"/>
      <c r="CW12" s="536"/>
      <c r="CX12" s="536"/>
      <c r="CY12" s="536"/>
      <c r="CZ12" s="536"/>
      <c r="DA12" s="536"/>
      <c r="DB12" s="536"/>
      <c r="DC12" s="536"/>
      <c r="DD12" s="536"/>
      <c r="DE12" s="536"/>
      <c r="DF12" s="536"/>
      <c r="DG12" s="536"/>
      <c r="DH12" s="536"/>
      <c r="DI12" s="536"/>
      <c r="DJ12" s="536"/>
      <c r="DK12" s="536"/>
      <c r="DL12" s="536"/>
      <c r="DM12" s="536"/>
      <c r="DN12" s="536"/>
      <c r="DO12" s="536"/>
      <c r="DP12" s="536"/>
      <c r="DQ12" s="536"/>
      <c r="DR12" s="536"/>
      <c r="DS12" s="536"/>
      <c r="DT12" s="536"/>
      <c r="DU12" s="536"/>
      <c r="DV12" s="536"/>
      <c r="DW12" s="536"/>
      <c r="DX12" s="536"/>
      <c r="DY12" s="536"/>
      <c r="DZ12" s="536"/>
      <c r="EA12" s="536"/>
      <c r="EB12" s="536"/>
      <c r="EC12" s="536"/>
      <c r="ED12" s="536"/>
      <c r="EE12" s="536"/>
      <c r="EF12" s="536"/>
      <c r="EG12" s="536"/>
      <c r="EH12" s="536"/>
      <c r="EI12" s="536"/>
      <c r="EJ12" s="536"/>
      <c r="EK12" s="536"/>
      <c r="EL12" s="536"/>
      <c r="EM12" s="536"/>
      <c r="EN12" s="536"/>
      <c r="EO12" s="536"/>
      <c r="EP12" s="536"/>
      <c r="EQ12" s="536"/>
      <c r="ER12" s="536"/>
      <c r="ES12" s="536"/>
      <c r="ET12" s="536"/>
      <c r="EU12" s="536"/>
      <c r="EV12" s="536"/>
      <c r="EW12" s="536"/>
      <c r="EX12" s="536"/>
      <c r="EY12" s="536"/>
      <c r="EZ12" s="536"/>
      <c r="FA12" s="536"/>
      <c r="FB12" s="536"/>
      <c r="FC12" s="536"/>
      <c r="FD12" s="536"/>
      <c r="FE12" s="536"/>
      <c r="FF12" s="536"/>
      <c r="FG12" s="536"/>
      <c r="FH12" s="536"/>
      <c r="FI12" s="536"/>
      <c r="FJ12" s="536"/>
      <c r="FK12" s="536"/>
      <c r="FL12" s="536"/>
      <c r="FM12" s="536"/>
      <c r="FN12" s="536"/>
      <c r="FO12" s="536"/>
      <c r="FP12" s="536"/>
      <c r="FQ12" s="536"/>
      <c r="FR12" s="536"/>
      <c r="FS12" s="536"/>
      <c r="FT12" s="536"/>
      <c r="FU12" s="536"/>
      <c r="FV12" s="536"/>
      <c r="FW12" s="536"/>
      <c r="FX12" s="536"/>
      <c r="FY12" s="536"/>
      <c r="FZ12" s="536"/>
      <c r="GA12" s="536"/>
      <c r="GB12" s="536"/>
      <c r="GC12" s="536"/>
      <c r="GD12" s="536"/>
      <c r="GE12" s="536"/>
      <c r="GF12" s="536"/>
      <c r="GG12" s="536"/>
      <c r="GH12" s="536"/>
      <c r="GI12" s="536"/>
      <c r="GJ12" s="536"/>
      <c r="GK12" s="536"/>
      <c r="GL12" s="536"/>
      <c r="GM12" s="536"/>
      <c r="GN12" s="536"/>
      <c r="GO12" s="536"/>
      <c r="GP12" s="536"/>
      <c r="GQ12" s="536"/>
      <c r="GR12" s="536"/>
      <c r="GS12" s="536"/>
      <c r="GT12" s="536"/>
      <c r="GU12" s="536"/>
      <c r="GV12" s="536"/>
      <c r="GW12" s="536"/>
      <c r="GX12" s="536"/>
      <c r="GY12" s="536"/>
      <c r="GZ12" s="536"/>
      <c r="HA12" s="536"/>
      <c r="HB12" s="536"/>
      <c r="HC12" s="536"/>
      <c r="HD12" s="536"/>
      <c r="HE12" s="536"/>
      <c r="HF12" s="536"/>
      <c r="HG12" s="536"/>
      <c r="HH12" s="536"/>
      <c r="HI12" s="536"/>
      <c r="HJ12" s="536"/>
      <c r="HK12" s="536"/>
      <c r="HL12" s="536"/>
      <c r="HM12" s="536"/>
      <c r="HN12" s="536"/>
      <c r="HO12" s="536"/>
      <c r="HP12" s="536"/>
      <c r="HQ12" s="536"/>
      <c r="HR12" s="536"/>
      <c r="HS12" s="536"/>
      <c r="HT12" s="536"/>
      <c r="HU12" s="536"/>
      <c r="HV12" s="536"/>
      <c r="HW12" s="536"/>
      <c r="HX12" s="536"/>
      <c r="HY12" s="536"/>
      <c r="HZ12" s="536"/>
      <c r="IA12" s="536"/>
      <c r="IB12" s="536"/>
      <c r="IC12" s="536"/>
      <c r="ID12" s="536"/>
      <c r="IE12" s="536"/>
      <c r="IF12" s="536"/>
      <c r="IG12" s="536"/>
      <c r="IH12" s="536"/>
      <c r="II12" s="536"/>
      <c r="IJ12" s="536"/>
      <c r="IK12" s="536"/>
      <c r="IL12" s="536"/>
      <c r="IM12" s="536"/>
      <c r="IN12" s="536"/>
      <c r="IO12" s="536"/>
      <c r="IP12" s="536"/>
      <c r="IQ12" s="536"/>
      <c r="IR12" s="536"/>
      <c r="IS12" s="536"/>
      <c r="IT12" s="536"/>
      <c r="IU12" s="536"/>
      <c r="IV12" s="536"/>
    </row>
    <row r="13" spans="1:256" s="538" customFormat="1" ht="14.25" x14ac:dyDescent="0.2">
      <c r="A13" s="534"/>
      <c r="B13" s="576" t="s">
        <v>498</v>
      </c>
      <c r="C13" s="578" t="s">
        <v>499</v>
      </c>
      <c r="D13" s="555">
        <v>38000</v>
      </c>
      <c r="AX13" s="536"/>
      <c r="AY13" s="536"/>
      <c r="AZ13" s="536"/>
      <c r="BA13" s="536"/>
      <c r="BB13" s="536"/>
      <c r="BC13" s="536"/>
      <c r="BD13" s="536"/>
      <c r="BE13" s="536"/>
      <c r="BF13" s="536"/>
      <c r="BG13" s="536"/>
      <c r="BH13" s="536"/>
      <c r="BI13" s="536"/>
      <c r="BJ13" s="536"/>
      <c r="BK13" s="536"/>
      <c r="BL13" s="536"/>
      <c r="BM13" s="536"/>
      <c r="BN13" s="536"/>
      <c r="BO13" s="536"/>
      <c r="BP13" s="536"/>
      <c r="BQ13" s="536"/>
      <c r="BR13" s="536"/>
      <c r="BS13" s="536"/>
      <c r="BT13" s="536"/>
      <c r="BU13" s="536"/>
      <c r="BV13" s="536"/>
      <c r="BW13" s="536"/>
      <c r="BX13" s="536"/>
      <c r="BY13" s="536"/>
      <c r="BZ13" s="536"/>
      <c r="CA13" s="536"/>
      <c r="CB13" s="536"/>
      <c r="CC13" s="536"/>
      <c r="CD13" s="536"/>
      <c r="CE13" s="536"/>
      <c r="CF13" s="536"/>
      <c r="CG13" s="536"/>
      <c r="CH13" s="536"/>
      <c r="CI13" s="536"/>
      <c r="CJ13" s="536"/>
      <c r="CK13" s="536"/>
      <c r="CL13" s="536"/>
      <c r="CM13" s="536"/>
      <c r="CN13" s="536"/>
      <c r="CO13" s="536"/>
      <c r="CP13" s="536"/>
      <c r="CQ13" s="536"/>
      <c r="CR13" s="536"/>
      <c r="CS13" s="536"/>
      <c r="CT13" s="536"/>
      <c r="CU13" s="536"/>
      <c r="CV13" s="536"/>
      <c r="CW13" s="536"/>
      <c r="CX13" s="536"/>
      <c r="CY13" s="536"/>
      <c r="CZ13" s="536"/>
      <c r="DA13" s="536"/>
      <c r="DB13" s="536"/>
      <c r="DC13" s="536"/>
      <c r="DD13" s="536"/>
      <c r="DE13" s="536"/>
      <c r="DF13" s="536"/>
      <c r="DG13" s="536"/>
      <c r="DH13" s="536"/>
      <c r="DI13" s="536"/>
      <c r="DJ13" s="536"/>
      <c r="DK13" s="536"/>
      <c r="DL13" s="536"/>
      <c r="DM13" s="536"/>
      <c r="DN13" s="536"/>
      <c r="DO13" s="536"/>
      <c r="DP13" s="536"/>
      <c r="DQ13" s="536"/>
      <c r="DR13" s="536"/>
      <c r="DS13" s="536"/>
      <c r="DT13" s="536"/>
      <c r="DU13" s="536"/>
      <c r="DV13" s="536"/>
      <c r="DW13" s="536"/>
      <c r="DX13" s="536"/>
      <c r="DY13" s="536"/>
      <c r="DZ13" s="536"/>
      <c r="EA13" s="536"/>
      <c r="EB13" s="536"/>
      <c r="EC13" s="536"/>
      <c r="ED13" s="536"/>
      <c r="EE13" s="536"/>
      <c r="EF13" s="536"/>
      <c r="EG13" s="536"/>
      <c r="EH13" s="536"/>
      <c r="EI13" s="536"/>
      <c r="EJ13" s="536"/>
      <c r="EK13" s="536"/>
      <c r="EL13" s="536"/>
      <c r="EM13" s="536"/>
      <c r="EN13" s="536"/>
      <c r="EO13" s="536"/>
      <c r="EP13" s="536"/>
      <c r="EQ13" s="536"/>
      <c r="ER13" s="536"/>
      <c r="ES13" s="536"/>
      <c r="ET13" s="536"/>
      <c r="EU13" s="536"/>
      <c r="EV13" s="536"/>
      <c r="EW13" s="536"/>
      <c r="EX13" s="536"/>
      <c r="EY13" s="536"/>
      <c r="EZ13" s="536"/>
      <c r="FA13" s="536"/>
      <c r="FB13" s="536"/>
      <c r="FC13" s="536"/>
      <c r="FD13" s="536"/>
      <c r="FE13" s="536"/>
      <c r="FF13" s="536"/>
      <c r="FG13" s="536"/>
      <c r="FH13" s="536"/>
      <c r="FI13" s="536"/>
      <c r="FJ13" s="536"/>
      <c r="FK13" s="536"/>
      <c r="FL13" s="536"/>
      <c r="FM13" s="536"/>
      <c r="FN13" s="536"/>
      <c r="FO13" s="536"/>
      <c r="FP13" s="536"/>
      <c r="FQ13" s="536"/>
      <c r="FR13" s="536"/>
      <c r="FS13" s="536"/>
      <c r="FT13" s="536"/>
      <c r="FU13" s="536"/>
      <c r="FV13" s="536"/>
      <c r="FW13" s="536"/>
      <c r="FX13" s="536"/>
      <c r="FY13" s="536"/>
      <c r="FZ13" s="536"/>
      <c r="GA13" s="536"/>
      <c r="GB13" s="536"/>
      <c r="GC13" s="536"/>
      <c r="GD13" s="536"/>
      <c r="GE13" s="536"/>
      <c r="GF13" s="536"/>
      <c r="GG13" s="536"/>
      <c r="GH13" s="536"/>
      <c r="GI13" s="536"/>
      <c r="GJ13" s="536"/>
      <c r="GK13" s="536"/>
      <c r="GL13" s="536"/>
      <c r="GM13" s="536"/>
      <c r="GN13" s="536"/>
      <c r="GO13" s="536"/>
      <c r="GP13" s="536"/>
      <c r="GQ13" s="536"/>
      <c r="GR13" s="536"/>
      <c r="GS13" s="536"/>
      <c r="GT13" s="536"/>
      <c r="GU13" s="536"/>
      <c r="GV13" s="536"/>
      <c r="GW13" s="536"/>
      <c r="GX13" s="536"/>
      <c r="GY13" s="536"/>
      <c r="GZ13" s="536"/>
      <c r="HA13" s="536"/>
      <c r="HB13" s="536"/>
      <c r="HC13" s="536"/>
      <c r="HD13" s="536"/>
      <c r="HE13" s="536"/>
      <c r="HF13" s="536"/>
      <c r="HG13" s="536"/>
      <c r="HH13" s="536"/>
      <c r="HI13" s="536"/>
      <c r="HJ13" s="536"/>
      <c r="HK13" s="536"/>
      <c r="HL13" s="536"/>
      <c r="HM13" s="536"/>
      <c r="HN13" s="536"/>
      <c r="HO13" s="536"/>
      <c r="HP13" s="536"/>
      <c r="HQ13" s="536"/>
      <c r="HR13" s="536"/>
      <c r="HS13" s="536"/>
      <c r="HT13" s="536"/>
      <c r="HU13" s="536"/>
      <c r="HV13" s="536"/>
      <c r="HW13" s="536"/>
      <c r="HX13" s="536"/>
      <c r="HY13" s="536"/>
      <c r="HZ13" s="536"/>
      <c r="IA13" s="536"/>
      <c r="IB13" s="536"/>
      <c r="IC13" s="536"/>
      <c r="ID13" s="536"/>
      <c r="IE13" s="536"/>
      <c r="IF13" s="536"/>
      <c r="IG13" s="536"/>
      <c r="IH13" s="536"/>
      <c r="II13" s="536"/>
      <c r="IJ13" s="536"/>
      <c r="IK13" s="536"/>
      <c r="IL13" s="536"/>
      <c r="IM13" s="536"/>
      <c r="IN13" s="536"/>
      <c r="IO13" s="536"/>
      <c r="IP13" s="536"/>
      <c r="IQ13" s="536"/>
      <c r="IR13" s="536"/>
      <c r="IS13" s="536"/>
      <c r="IT13" s="536"/>
      <c r="IU13" s="536"/>
      <c r="IV13" s="536"/>
    </row>
    <row r="14" spans="1:256" s="538" customFormat="1" ht="25.5" x14ac:dyDescent="0.2">
      <c r="A14" s="534"/>
      <c r="B14" s="576" t="s">
        <v>500</v>
      </c>
      <c r="C14" s="651" t="s">
        <v>501</v>
      </c>
      <c r="D14" s="555">
        <v>34000</v>
      </c>
      <c r="AX14" s="536"/>
      <c r="AY14" s="536"/>
      <c r="AZ14" s="536"/>
      <c r="BA14" s="536"/>
      <c r="BB14" s="536"/>
      <c r="BC14" s="536"/>
      <c r="BD14" s="536"/>
      <c r="BE14" s="536"/>
      <c r="BF14" s="536"/>
      <c r="BG14" s="536"/>
      <c r="BH14" s="536"/>
      <c r="BI14" s="536"/>
      <c r="BJ14" s="536"/>
      <c r="BK14" s="536"/>
      <c r="BL14" s="536"/>
      <c r="BM14" s="536"/>
      <c r="BN14" s="536"/>
      <c r="BO14" s="536"/>
      <c r="BP14" s="536"/>
      <c r="BQ14" s="536"/>
      <c r="BR14" s="536"/>
      <c r="BS14" s="536"/>
      <c r="BT14" s="536"/>
      <c r="BU14" s="536"/>
      <c r="BV14" s="536"/>
      <c r="BW14" s="536"/>
      <c r="BX14" s="536"/>
      <c r="BY14" s="536"/>
      <c r="BZ14" s="536"/>
      <c r="CA14" s="536"/>
      <c r="CB14" s="536"/>
      <c r="CC14" s="536"/>
      <c r="CD14" s="536"/>
      <c r="CE14" s="536"/>
      <c r="CF14" s="536"/>
      <c r="CG14" s="536"/>
      <c r="CH14" s="536"/>
      <c r="CI14" s="536"/>
      <c r="CJ14" s="536"/>
      <c r="CK14" s="536"/>
      <c r="CL14" s="536"/>
      <c r="CM14" s="536"/>
      <c r="CN14" s="536"/>
      <c r="CO14" s="536"/>
      <c r="CP14" s="536"/>
      <c r="CQ14" s="536"/>
      <c r="CR14" s="536"/>
      <c r="CS14" s="536"/>
      <c r="CT14" s="536"/>
      <c r="CU14" s="536"/>
      <c r="CV14" s="536"/>
      <c r="CW14" s="536"/>
      <c r="CX14" s="536"/>
      <c r="CY14" s="536"/>
      <c r="CZ14" s="536"/>
      <c r="DA14" s="536"/>
      <c r="DB14" s="536"/>
      <c r="DC14" s="536"/>
      <c r="DD14" s="536"/>
      <c r="DE14" s="536"/>
      <c r="DF14" s="536"/>
      <c r="DG14" s="536"/>
      <c r="DH14" s="536"/>
      <c r="DI14" s="536"/>
      <c r="DJ14" s="536"/>
      <c r="DK14" s="536"/>
      <c r="DL14" s="536"/>
      <c r="DM14" s="536"/>
      <c r="DN14" s="536"/>
      <c r="DO14" s="536"/>
      <c r="DP14" s="536"/>
      <c r="DQ14" s="536"/>
      <c r="DR14" s="536"/>
      <c r="DS14" s="536"/>
      <c r="DT14" s="536"/>
      <c r="DU14" s="536"/>
      <c r="DV14" s="536"/>
      <c r="DW14" s="536"/>
      <c r="DX14" s="536"/>
      <c r="DY14" s="536"/>
      <c r="DZ14" s="536"/>
      <c r="EA14" s="536"/>
      <c r="EB14" s="536"/>
      <c r="EC14" s="536"/>
      <c r="ED14" s="536"/>
      <c r="EE14" s="536"/>
      <c r="EF14" s="536"/>
      <c r="EG14" s="536"/>
      <c r="EH14" s="536"/>
      <c r="EI14" s="536"/>
      <c r="EJ14" s="536"/>
      <c r="EK14" s="536"/>
      <c r="EL14" s="536"/>
      <c r="EM14" s="536"/>
      <c r="EN14" s="536"/>
      <c r="EO14" s="536"/>
      <c r="EP14" s="536"/>
      <c r="EQ14" s="536"/>
      <c r="ER14" s="536"/>
      <c r="ES14" s="536"/>
      <c r="ET14" s="536"/>
      <c r="EU14" s="536"/>
      <c r="EV14" s="536"/>
      <c r="EW14" s="536"/>
      <c r="EX14" s="536"/>
      <c r="EY14" s="536"/>
      <c r="EZ14" s="536"/>
      <c r="FA14" s="536"/>
      <c r="FB14" s="536"/>
      <c r="FC14" s="536"/>
      <c r="FD14" s="536"/>
      <c r="FE14" s="536"/>
      <c r="FF14" s="536"/>
      <c r="FG14" s="536"/>
      <c r="FH14" s="536"/>
      <c r="FI14" s="536"/>
      <c r="FJ14" s="536"/>
      <c r="FK14" s="536"/>
      <c r="FL14" s="536"/>
      <c r="FM14" s="536"/>
      <c r="FN14" s="536"/>
      <c r="FO14" s="536"/>
      <c r="FP14" s="536"/>
      <c r="FQ14" s="536"/>
      <c r="FR14" s="536"/>
      <c r="FS14" s="536"/>
      <c r="FT14" s="536"/>
      <c r="FU14" s="536"/>
      <c r="FV14" s="536"/>
      <c r="FW14" s="536"/>
      <c r="FX14" s="536"/>
      <c r="FY14" s="536"/>
      <c r="FZ14" s="536"/>
      <c r="GA14" s="536"/>
      <c r="GB14" s="536"/>
      <c r="GC14" s="536"/>
      <c r="GD14" s="536"/>
      <c r="GE14" s="536"/>
      <c r="GF14" s="536"/>
      <c r="GG14" s="536"/>
      <c r="GH14" s="536"/>
      <c r="GI14" s="536"/>
      <c r="GJ14" s="536"/>
      <c r="GK14" s="536"/>
      <c r="GL14" s="536"/>
      <c r="GM14" s="536"/>
      <c r="GN14" s="536"/>
      <c r="GO14" s="536"/>
      <c r="GP14" s="536"/>
      <c r="GQ14" s="536"/>
      <c r="GR14" s="536"/>
      <c r="GS14" s="536"/>
      <c r="GT14" s="536"/>
      <c r="GU14" s="536"/>
      <c r="GV14" s="536"/>
      <c r="GW14" s="536"/>
      <c r="GX14" s="536"/>
      <c r="GY14" s="536"/>
      <c r="GZ14" s="536"/>
      <c r="HA14" s="536"/>
      <c r="HB14" s="536"/>
      <c r="HC14" s="536"/>
      <c r="HD14" s="536"/>
      <c r="HE14" s="536"/>
      <c r="HF14" s="536"/>
      <c r="HG14" s="536"/>
      <c r="HH14" s="536"/>
      <c r="HI14" s="536"/>
      <c r="HJ14" s="536"/>
      <c r="HK14" s="536"/>
      <c r="HL14" s="536"/>
      <c r="HM14" s="536"/>
      <c r="HN14" s="536"/>
      <c r="HO14" s="536"/>
      <c r="HP14" s="536"/>
      <c r="HQ14" s="536"/>
      <c r="HR14" s="536"/>
      <c r="HS14" s="536"/>
      <c r="HT14" s="536"/>
      <c r="HU14" s="536"/>
      <c r="HV14" s="536"/>
      <c r="HW14" s="536"/>
      <c r="HX14" s="536"/>
      <c r="HY14" s="536"/>
      <c r="HZ14" s="536"/>
      <c r="IA14" s="536"/>
      <c r="IB14" s="536"/>
      <c r="IC14" s="536"/>
      <c r="ID14" s="536"/>
      <c r="IE14" s="536"/>
      <c r="IF14" s="536"/>
      <c r="IG14" s="536"/>
      <c r="IH14" s="536"/>
      <c r="II14" s="536"/>
      <c r="IJ14" s="536"/>
      <c r="IK14" s="536"/>
      <c r="IL14" s="536"/>
      <c r="IM14" s="536"/>
      <c r="IN14" s="536"/>
      <c r="IO14" s="536"/>
      <c r="IP14" s="536"/>
      <c r="IQ14" s="536"/>
      <c r="IR14" s="536"/>
      <c r="IS14" s="536"/>
      <c r="IT14" s="536"/>
      <c r="IU14" s="536"/>
      <c r="IV14" s="536"/>
    </row>
    <row r="15" spans="1:256" s="538" customFormat="1" ht="14.25" x14ac:dyDescent="0.2">
      <c r="A15" s="534"/>
      <c r="B15" s="576" t="s">
        <v>502</v>
      </c>
      <c r="C15" s="577" t="s">
        <v>503</v>
      </c>
      <c r="D15" s="555">
        <v>20500</v>
      </c>
      <c r="AX15" s="536"/>
      <c r="AY15" s="536"/>
      <c r="AZ15" s="536"/>
      <c r="BA15" s="536"/>
      <c r="BB15" s="536"/>
      <c r="BC15" s="536"/>
      <c r="BD15" s="536"/>
      <c r="BE15" s="536"/>
      <c r="BF15" s="536"/>
      <c r="BG15" s="536"/>
      <c r="BH15" s="536"/>
      <c r="BI15" s="536"/>
      <c r="BJ15" s="536"/>
      <c r="BK15" s="536"/>
      <c r="BL15" s="536"/>
      <c r="BM15" s="536"/>
      <c r="BN15" s="536"/>
      <c r="BO15" s="536"/>
      <c r="BP15" s="536"/>
      <c r="BQ15" s="536"/>
      <c r="BR15" s="536"/>
      <c r="BS15" s="536"/>
      <c r="BT15" s="536"/>
      <c r="BU15" s="536"/>
      <c r="BV15" s="536"/>
      <c r="BW15" s="536"/>
      <c r="BX15" s="536"/>
      <c r="BY15" s="536"/>
      <c r="BZ15" s="536"/>
      <c r="CA15" s="536"/>
      <c r="CB15" s="536"/>
      <c r="CC15" s="536"/>
      <c r="CD15" s="536"/>
      <c r="CE15" s="536"/>
      <c r="CF15" s="536"/>
      <c r="CG15" s="536"/>
      <c r="CH15" s="536"/>
      <c r="CI15" s="536"/>
      <c r="CJ15" s="536"/>
      <c r="CK15" s="536"/>
      <c r="CL15" s="536"/>
      <c r="CM15" s="536"/>
      <c r="CN15" s="536"/>
      <c r="CO15" s="536"/>
      <c r="CP15" s="536"/>
      <c r="CQ15" s="536"/>
      <c r="CR15" s="536"/>
      <c r="CS15" s="536"/>
      <c r="CT15" s="536"/>
      <c r="CU15" s="536"/>
      <c r="CV15" s="536"/>
      <c r="CW15" s="536"/>
      <c r="CX15" s="536"/>
      <c r="CY15" s="536"/>
      <c r="CZ15" s="536"/>
      <c r="DA15" s="536"/>
      <c r="DB15" s="536"/>
      <c r="DC15" s="536"/>
      <c r="DD15" s="536"/>
      <c r="DE15" s="536"/>
      <c r="DF15" s="536"/>
      <c r="DG15" s="536"/>
      <c r="DH15" s="536"/>
      <c r="DI15" s="536"/>
      <c r="DJ15" s="536"/>
      <c r="DK15" s="536"/>
      <c r="DL15" s="536"/>
      <c r="DM15" s="536"/>
      <c r="DN15" s="536"/>
      <c r="DO15" s="536"/>
      <c r="DP15" s="536"/>
      <c r="DQ15" s="536"/>
      <c r="DR15" s="536"/>
      <c r="DS15" s="536"/>
      <c r="DT15" s="536"/>
      <c r="DU15" s="536"/>
      <c r="DV15" s="536"/>
      <c r="DW15" s="536"/>
      <c r="DX15" s="536"/>
      <c r="DY15" s="536"/>
      <c r="DZ15" s="536"/>
      <c r="EA15" s="536"/>
      <c r="EB15" s="536"/>
      <c r="EC15" s="536"/>
      <c r="ED15" s="536"/>
      <c r="EE15" s="536"/>
      <c r="EF15" s="536"/>
      <c r="EG15" s="536"/>
      <c r="EH15" s="536"/>
      <c r="EI15" s="536"/>
      <c r="EJ15" s="536"/>
      <c r="EK15" s="536"/>
      <c r="EL15" s="536"/>
      <c r="EM15" s="536"/>
      <c r="EN15" s="536"/>
      <c r="EO15" s="536"/>
      <c r="EP15" s="536"/>
      <c r="EQ15" s="536"/>
      <c r="ER15" s="536"/>
      <c r="ES15" s="536"/>
      <c r="ET15" s="536"/>
      <c r="EU15" s="536"/>
      <c r="EV15" s="536"/>
      <c r="EW15" s="536"/>
      <c r="EX15" s="536"/>
      <c r="EY15" s="536"/>
      <c r="EZ15" s="536"/>
      <c r="FA15" s="536"/>
      <c r="FB15" s="536"/>
      <c r="FC15" s="536"/>
      <c r="FD15" s="536"/>
      <c r="FE15" s="536"/>
      <c r="FF15" s="536"/>
      <c r="FG15" s="536"/>
      <c r="FH15" s="536"/>
      <c r="FI15" s="536"/>
      <c r="FJ15" s="536"/>
      <c r="FK15" s="536"/>
      <c r="FL15" s="536"/>
      <c r="FM15" s="536"/>
      <c r="FN15" s="536"/>
      <c r="FO15" s="536"/>
      <c r="FP15" s="536"/>
      <c r="FQ15" s="536"/>
      <c r="FR15" s="536"/>
      <c r="FS15" s="536"/>
      <c r="FT15" s="536"/>
      <c r="FU15" s="536"/>
      <c r="FV15" s="536"/>
      <c r="FW15" s="536"/>
      <c r="FX15" s="536"/>
      <c r="FY15" s="536"/>
      <c r="FZ15" s="536"/>
      <c r="GA15" s="536"/>
      <c r="GB15" s="536"/>
      <c r="GC15" s="536"/>
      <c r="GD15" s="536"/>
      <c r="GE15" s="536"/>
      <c r="GF15" s="536"/>
      <c r="GG15" s="536"/>
      <c r="GH15" s="536"/>
      <c r="GI15" s="536"/>
      <c r="GJ15" s="536"/>
      <c r="GK15" s="536"/>
      <c r="GL15" s="536"/>
      <c r="GM15" s="536"/>
      <c r="GN15" s="536"/>
      <c r="GO15" s="536"/>
      <c r="GP15" s="536"/>
      <c r="GQ15" s="536"/>
      <c r="GR15" s="536"/>
      <c r="GS15" s="536"/>
      <c r="GT15" s="536"/>
      <c r="GU15" s="536"/>
      <c r="GV15" s="536"/>
      <c r="GW15" s="536"/>
      <c r="GX15" s="536"/>
      <c r="GY15" s="536"/>
      <c r="GZ15" s="536"/>
      <c r="HA15" s="536"/>
      <c r="HB15" s="536"/>
      <c r="HC15" s="536"/>
      <c r="HD15" s="536"/>
      <c r="HE15" s="536"/>
      <c r="HF15" s="536"/>
      <c r="HG15" s="536"/>
      <c r="HH15" s="536"/>
      <c r="HI15" s="536"/>
      <c r="HJ15" s="536"/>
      <c r="HK15" s="536"/>
      <c r="HL15" s="536"/>
      <c r="HM15" s="536"/>
      <c r="HN15" s="536"/>
      <c r="HO15" s="536"/>
      <c r="HP15" s="536"/>
      <c r="HQ15" s="536"/>
      <c r="HR15" s="536"/>
      <c r="HS15" s="536"/>
      <c r="HT15" s="536"/>
      <c r="HU15" s="536"/>
      <c r="HV15" s="536"/>
      <c r="HW15" s="536"/>
      <c r="HX15" s="536"/>
      <c r="HY15" s="536"/>
      <c r="HZ15" s="536"/>
      <c r="IA15" s="536"/>
      <c r="IB15" s="536"/>
      <c r="IC15" s="536"/>
      <c r="ID15" s="536"/>
      <c r="IE15" s="536"/>
      <c r="IF15" s="536"/>
      <c r="IG15" s="536"/>
      <c r="IH15" s="536"/>
      <c r="II15" s="536"/>
      <c r="IJ15" s="536"/>
      <c r="IK15" s="536"/>
      <c r="IL15" s="536"/>
      <c r="IM15" s="536"/>
      <c r="IN15" s="536"/>
      <c r="IO15" s="536"/>
      <c r="IP15" s="536"/>
      <c r="IQ15" s="536"/>
      <c r="IR15" s="536"/>
      <c r="IS15" s="536"/>
      <c r="IT15" s="536"/>
      <c r="IU15" s="536"/>
      <c r="IV15" s="536"/>
    </row>
    <row r="16" spans="1:256" s="538" customFormat="1" ht="15" thickBot="1" x14ac:dyDescent="0.25">
      <c r="A16" s="534"/>
      <c r="B16" s="576" t="s">
        <v>504</v>
      </c>
      <c r="C16" s="579" t="s">
        <v>505</v>
      </c>
      <c r="D16" s="580">
        <v>12000</v>
      </c>
      <c r="AX16" s="536"/>
      <c r="AY16" s="536"/>
      <c r="AZ16" s="536"/>
      <c r="BA16" s="536"/>
      <c r="BB16" s="536"/>
      <c r="BC16" s="536"/>
      <c r="BD16" s="536"/>
      <c r="BE16" s="536"/>
      <c r="BF16" s="536"/>
      <c r="BG16" s="536"/>
      <c r="BH16" s="536"/>
      <c r="BI16" s="536"/>
      <c r="BJ16" s="536"/>
      <c r="BK16" s="536"/>
      <c r="BL16" s="536"/>
      <c r="BM16" s="536"/>
      <c r="BN16" s="536"/>
      <c r="BO16" s="536"/>
      <c r="BP16" s="536"/>
      <c r="BQ16" s="536"/>
      <c r="BR16" s="536"/>
      <c r="BS16" s="536"/>
      <c r="BT16" s="536"/>
      <c r="BU16" s="536"/>
      <c r="BV16" s="536"/>
      <c r="BW16" s="536"/>
      <c r="BX16" s="536"/>
      <c r="BY16" s="536"/>
      <c r="BZ16" s="536"/>
      <c r="CA16" s="536"/>
      <c r="CB16" s="536"/>
      <c r="CC16" s="536"/>
      <c r="CD16" s="536"/>
      <c r="CE16" s="536"/>
      <c r="CF16" s="536"/>
      <c r="CG16" s="536"/>
      <c r="CH16" s="536"/>
      <c r="CI16" s="536"/>
      <c r="CJ16" s="536"/>
      <c r="CK16" s="536"/>
      <c r="CL16" s="536"/>
      <c r="CM16" s="536"/>
      <c r="CN16" s="536"/>
      <c r="CO16" s="536"/>
      <c r="CP16" s="536"/>
      <c r="CQ16" s="536"/>
      <c r="CR16" s="536"/>
      <c r="CS16" s="536"/>
      <c r="CT16" s="536"/>
      <c r="CU16" s="536"/>
      <c r="CV16" s="536"/>
      <c r="CW16" s="536"/>
      <c r="CX16" s="536"/>
      <c r="CY16" s="536"/>
      <c r="CZ16" s="536"/>
      <c r="DA16" s="536"/>
      <c r="DB16" s="536"/>
      <c r="DC16" s="536"/>
      <c r="DD16" s="536"/>
      <c r="DE16" s="536"/>
      <c r="DF16" s="536"/>
      <c r="DG16" s="536"/>
      <c r="DH16" s="536"/>
      <c r="DI16" s="536"/>
      <c r="DJ16" s="536"/>
      <c r="DK16" s="536"/>
      <c r="DL16" s="536"/>
      <c r="DM16" s="536"/>
      <c r="DN16" s="536"/>
      <c r="DO16" s="536"/>
      <c r="DP16" s="536"/>
      <c r="DQ16" s="536"/>
      <c r="DR16" s="536"/>
      <c r="DS16" s="536"/>
      <c r="DT16" s="536"/>
      <c r="DU16" s="536"/>
      <c r="DV16" s="536"/>
      <c r="DW16" s="536"/>
      <c r="DX16" s="536"/>
      <c r="DY16" s="536"/>
      <c r="DZ16" s="536"/>
      <c r="EA16" s="536"/>
      <c r="EB16" s="536"/>
      <c r="EC16" s="536"/>
      <c r="ED16" s="536"/>
      <c r="EE16" s="536"/>
      <c r="EF16" s="536"/>
      <c r="EG16" s="536"/>
      <c r="EH16" s="536"/>
      <c r="EI16" s="536"/>
      <c r="EJ16" s="536"/>
      <c r="EK16" s="536"/>
      <c r="EL16" s="536"/>
      <c r="EM16" s="536"/>
      <c r="EN16" s="536"/>
      <c r="EO16" s="536"/>
      <c r="EP16" s="536"/>
      <c r="EQ16" s="536"/>
      <c r="ER16" s="536"/>
      <c r="ES16" s="536"/>
      <c r="ET16" s="536"/>
      <c r="EU16" s="536"/>
      <c r="EV16" s="536"/>
      <c r="EW16" s="536"/>
      <c r="EX16" s="536"/>
      <c r="EY16" s="536"/>
      <c r="EZ16" s="536"/>
      <c r="FA16" s="536"/>
      <c r="FB16" s="536"/>
      <c r="FC16" s="536"/>
      <c r="FD16" s="536"/>
      <c r="FE16" s="536"/>
      <c r="FF16" s="536"/>
      <c r="FG16" s="536"/>
      <c r="FH16" s="536"/>
      <c r="FI16" s="536"/>
      <c r="FJ16" s="536"/>
      <c r="FK16" s="536"/>
      <c r="FL16" s="536"/>
      <c r="FM16" s="536"/>
      <c r="FN16" s="536"/>
      <c r="FO16" s="536"/>
      <c r="FP16" s="536"/>
      <c r="FQ16" s="536"/>
      <c r="FR16" s="536"/>
      <c r="FS16" s="536"/>
      <c r="FT16" s="536"/>
      <c r="FU16" s="536"/>
      <c r="FV16" s="536"/>
      <c r="FW16" s="536"/>
      <c r="FX16" s="536"/>
      <c r="FY16" s="536"/>
      <c r="FZ16" s="536"/>
      <c r="GA16" s="536"/>
      <c r="GB16" s="536"/>
      <c r="GC16" s="536"/>
      <c r="GD16" s="536"/>
      <c r="GE16" s="536"/>
      <c r="GF16" s="536"/>
      <c r="GG16" s="536"/>
      <c r="GH16" s="536"/>
      <c r="GI16" s="536"/>
      <c r="GJ16" s="536"/>
      <c r="GK16" s="536"/>
      <c r="GL16" s="536"/>
      <c r="GM16" s="536"/>
      <c r="GN16" s="536"/>
      <c r="GO16" s="536"/>
      <c r="GP16" s="536"/>
      <c r="GQ16" s="536"/>
      <c r="GR16" s="536"/>
      <c r="GS16" s="536"/>
      <c r="GT16" s="536"/>
      <c r="GU16" s="536"/>
      <c r="GV16" s="536"/>
      <c r="GW16" s="536"/>
      <c r="GX16" s="536"/>
      <c r="GY16" s="536"/>
      <c r="GZ16" s="536"/>
      <c r="HA16" s="536"/>
      <c r="HB16" s="536"/>
      <c r="HC16" s="536"/>
      <c r="HD16" s="536"/>
      <c r="HE16" s="536"/>
      <c r="HF16" s="536"/>
      <c r="HG16" s="536"/>
      <c r="HH16" s="536"/>
      <c r="HI16" s="536"/>
      <c r="HJ16" s="536"/>
      <c r="HK16" s="536"/>
      <c r="HL16" s="536"/>
      <c r="HM16" s="536"/>
      <c r="HN16" s="536"/>
      <c r="HO16" s="536"/>
      <c r="HP16" s="536"/>
      <c r="HQ16" s="536"/>
      <c r="HR16" s="536"/>
      <c r="HS16" s="536"/>
      <c r="HT16" s="536"/>
      <c r="HU16" s="536"/>
      <c r="HV16" s="536"/>
      <c r="HW16" s="536"/>
      <c r="HX16" s="536"/>
      <c r="HY16" s="536"/>
      <c r="HZ16" s="536"/>
      <c r="IA16" s="536"/>
      <c r="IB16" s="536"/>
      <c r="IC16" s="536"/>
      <c r="ID16" s="536"/>
      <c r="IE16" s="536"/>
      <c r="IF16" s="536"/>
      <c r="IG16" s="536"/>
      <c r="IH16" s="536"/>
      <c r="II16" s="536"/>
      <c r="IJ16" s="536"/>
      <c r="IK16" s="536"/>
      <c r="IL16" s="536"/>
      <c r="IM16" s="536"/>
      <c r="IN16" s="536"/>
      <c r="IO16" s="536"/>
      <c r="IP16" s="536"/>
      <c r="IQ16" s="536"/>
      <c r="IR16" s="536"/>
      <c r="IS16" s="536"/>
      <c r="IT16" s="536"/>
      <c r="IU16" s="536"/>
      <c r="IV16" s="536"/>
    </row>
    <row r="17" spans="1:256" s="538" customFormat="1" ht="15" thickBot="1" x14ac:dyDescent="0.25">
      <c r="A17" s="534"/>
      <c r="B17" s="581"/>
      <c r="C17" s="582" t="s">
        <v>506</v>
      </c>
      <c r="D17" s="583">
        <f>SUM(D10:D16)</f>
        <v>332500</v>
      </c>
      <c r="AX17" s="536"/>
      <c r="AY17" s="536"/>
      <c r="AZ17" s="536"/>
      <c r="BA17" s="536"/>
      <c r="BB17" s="536"/>
      <c r="BC17" s="536"/>
      <c r="BD17" s="536"/>
      <c r="BE17" s="536"/>
      <c r="BF17" s="536"/>
      <c r="BG17" s="536"/>
      <c r="BH17" s="536"/>
      <c r="BI17" s="536"/>
      <c r="BJ17" s="536"/>
      <c r="BK17" s="536"/>
      <c r="BL17" s="536"/>
      <c r="BM17" s="536"/>
      <c r="BN17" s="536"/>
      <c r="BO17" s="536"/>
      <c r="BP17" s="536"/>
      <c r="BQ17" s="536"/>
      <c r="BR17" s="536"/>
      <c r="BS17" s="536"/>
      <c r="BT17" s="536"/>
      <c r="BU17" s="536"/>
      <c r="BV17" s="536"/>
      <c r="BW17" s="536"/>
      <c r="BX17" s="536"/>
      <c r="BY17" s="536"/>
      <c r="BZ17" s="536"/>
      <c r="CA17" s="536"/>
      <c r="CB17" s="536"/>
      <c r="CC17" s="536"/>
      <c r="CD17" s="536"/>
      <c r="CE17" s="536"/>
      <c r="CF17" s="536"/>
      <c r="CG17" s="536"/>
      <c r="CH17" s="536"/>
      <c r="CI17" s="536"/>
      <c r="CJ17" s="536"/>
      <c r="CK17" s="536"/>
      <c r="CL17" s="536"/>
      <c r="CM17" s="536"/>
      <c r="CN17" s="536"/>
      <c r="CO17" s="536"/>
      <c r="CP17" s="536"/>
      <c r="CQ17" s="536"/>
      <c r="CR17" s="536"/>
      <c r="CS17" s="536"/>
      <c r="CT17" s="536"/>
      <c r="CU17" s="536"/>
      <c r="CV17" s="536"/>
      <c r="CW17" s="536"/>
      <c r="CX17" s="536"/>
      <c r="CY17" s="536"/>
      <c r="CZ17" s="536"/>
      <c r="DA17" s="536"/>
      <c r="DB17" s="536"/>
      <c r="DC17" s="536"/>
      <c r="DD17" s="536"/>
      <c r="DE17" s="536"/>
      <c r="DF17" s="536"/>
      <c r="DG17" s="536"/>
      <c r="DH17" s="536"/>
      <c r="DI17" s="536"/>
      <c r="DJ17" s="536"/>
      <c r="DK17" s="536"/>
      <c r="DL17" s="536"/>
      <c r="DM17" s="536"/>
      <c r="DN17" s="536"/>
      <c r="DO17" s="536"/>
      <c r="DP17" s="536"/>
      <c r="DQ17" s="536"/>
      <c r="DR17" s="536"/>
      <c r="DS17" s="536"/>
      <c r="DT17" s="536"/>
      <c r="DU17" s="536"/>
      <c r="DV17" s="536"/>
      <c r="DW17" s="536"/>
      <c r="DX17" s="536"/>
      <c r="DY17" s="536"/>
      <c r="DZ17" s="536"/>
      <c r="EA17" s="536"/>
      <c r="EB17" s="536"/>
      <c r="EC17" s="536"/>
      <c r="ED17" s="536"/>
      <c r="EE17" s="536"/>
      <c r="EF17" s="536"/>
      <c r="EG17" s="536"/>
      <c r="EH17" s="536"/>
      <c r="EI17" s="536"/>
      <c r="EJ17" s="536"/>
      <c r="EK17" s="536"/>
      <c r="EL17" s="536"/>
      <c r="EM17" s="536"/>
      <c r="EN17" s="536"/>
      <c r="EO17" s="536"/>
      <c r="EP17" s="536"/>
      <c r="EQ17" s="536"/>
      <c r="ER17" s="536"/>
      <c r="ES17" s="536"/>
      <c r="ET17" s="536"/>
      <c r="EU17" s="536"/>
      <c r="EV17" s="536"/>
      <c r="EW17" s="536"/>
      <c r="EX17" s="536"/>
      <c r="EY17" s="536"/>
      <c r="EZ17" s="536"/>
      <c r="FA17" s="536"/>
      <c r="FB17" s="536"/>
      <c r="FC17" s="536"/>
      <c r="FD17" s="536"/>
      <c r="FE17" s="536"/>
      <c r="FF17" s="536"/>
      <c r="FG17" s="536"/>
      <c r="FH17" s="536"/>
      <c r="FI17" s="536"/>
      <c r="FJ17" s="536"/>
      <c r="FK17" s="536"/>
      <c r="FL17" s="536"/>
      <c r="FM17" s="536"/>
      <c r="FN17" s="536"/>
      <c r="FO17" s="536"/>
      <c r="FP17" s="536"/>
      <c r="FQ17" s="536"/>
      <c r="FR17" s="536"/>
      <c r="FS17" s="536"/>
      <c r="FT17" s="536"/>
      <c r="FU17" s="536"/>
      <c r="FV17" s="536"/>
      <c r="FW17" s="536"/>
      <c r="FX17" s="536"/>
      <c r="FY17" s="536"/>
      <c r="FZ17" s="536"/>
      <c r="GA17" s="536"/>
      <c r="GB17" s="536"/>
      <c r="GC17" s="536"/>
      <c r="GD17" s="536"/>
      <c r="GE17" s="536"/>
      <c r="GF17" s="536"/>
      <c r="GG17" s="536"/>
      <c r="GH17" s="536"/>
      <c r="GI17" s="536"/>
      <c r="GJ17" s="536"/>
      <c r="GK17" s="536"/>
      <c r="GL17" s="536"/>
      <c r="GM17" s="536"/>
      <c r="GN17" s="536"/>
      <c r="GO17" s="536"/>
      <c r="GP17" s="536"/>
      <c r="GQ17" s="536"/>
      <c r="GR17" s="536"/>
      <c r="GS17" s="536"/>
      <c r="GT17" s="536"/>
      <c r="GU17" s="536"/>
      <c r="GV17" s="536"/>
      <c r="GW17" s="536"/>
      <c r="GX17" s="536"/>
      <c r="GY17" s="536"/>
      <c r="GZ17" s="536"/>
      <c r="HA17" s="536"/>
      <c r="HB17" s="536"/>
      <c r="HC17" s="536"/>
      <c r="HD17" s="536"/>
      <c r="HE17" s="536"/>
      <c r="HF17" s="536"/>
      <c r="HG17" s="536"/>
      <c r="HH17" s="536"/>
      <c r="HI17" s="536"/>
      <c r="HJ17" s="536"/>
      <c r="HK17" s="536"/>
      <c r="HL17" s="536"/>
      <c r="HM17" s="536"/>
      <c r="HN17" s="536"/>
      <c r="HO17" s="536"/>
      <c r="HP17" s="536"/>
      <c r="HQ17" s="536"/>
      <c r="HR17" s="536"/>
      <c r="HS17" s="536"/>
      <c r="HT17" s="536"/>
      <c r="HU17" s="536"/>
      <c r="HV17" s="536"/>
      <c r="HW17" s="536"/>
      <c r="HX17" s="536"/>
      <c r="HY17" s="536"/>
      <c r="HZ17" s="536"/>
      <c r="IA17" s="536"/>
      <c r="IB17" s="536"/>
      <c r="IC17" s="536"/>
      <c r="ID17" s="536"/>
      <c r="IE17" s="536"/>
      <c r="IF17" s="536"/>
      <c r="IG17" s="536"/>
      <c r="IH17" s="536"/>
      <c r="II17" s="536"/>
      <c r="IJ17" s="536"/>
      <c r="IK17" s="536"/>
      <c r="IL17" s="536"/>
      <c r="IM17" s="536"/>
      <c r="IN17" s="536"/>
      <c r="IO17" s="536"/>
      <c r="IP17" s="536"/>
      <c r="IQ17" s="536"/>
      <c r="IR17" s="536"/>
      <c r="IS17" s="536"/>
      <c r="IT17" s="536"/>
      <c r="IU17" s="536"/>
      <c r="IV17" s="536"/>
    </row>
    <row r="20" spans="1:256" s="538" customFormat="1" x14ac:dyDescent="0.2">
      <c r="A20" s="534"/>
      <c r="B20" s="534"/>
      <c r="C20" s="536"/>
      <c r="D20" s="536"/>
      <c r="AX20" s="536"/>
      <c r="AY20" s="536"/>
      <c r="AZ20" s="536"/>
      <c r="BA20" s="536"/>
      <c r="BB20" s="536"/>
      <c r="BC20" s="536"/>
      <c r="BD20" s="536"/>
      <c r="BE20" s="536"/>
      <c r="BF20" s="536"/>
      <c r="BG20" s="536"/>
      <c r="BH20" s="536"/>
      <c r="BI20" s="536"/>
      <c r="BJ20" s="536"/>
      <c r="BK20" s="536"/>
      <c r="BL20" s="536"/>
      <c r="BM20" s="536"/>
      <c r="BN20" s="536"/>
      <c r="BO20" s="536"/>
      <c r="BP20" s="536"/>
      <c r="BQ20" s="536"/>
      <c r="BR20" s="536"/>
      <c r="BS20" s="536"/>
      <c r="BT20" s="536"/>
      <c r="BU20" s="536"/>
      <c r="BV20" s="536"/>
      <c r="BW20" s="536"/>
      <c r="BX20" s="536"/>
      <c r="BY20" s="536"/>
      <c r="BZ20" s="536"/>
      <c r="CA20" s="536"/>
      <c r="CB20" s="536"/>
      <c r="CC20" s="536"/>
      <c r="CD20" s="536"/>
      <c r="CE20" s="536"/>
      <c r="CF20" s="536"/>
      <c r="CG20" s="536"/>
      <c r="CH20" s="536"/>
      <c r="CI20" s="536"/>
      <c r="CJ20" s="536"/>
      <c r="CK20" s="536"/>
      <c r="CL20" s="536"/>
      <c r="CM20" s="536"/>
      <c r="CN20" s="536"/>
      <c r="CO20" s="536"/>
      <c r="CP20" s="536"/>
      <c r="CQ20" s="536"/>
      <c r="CR20" s="536"/>
      <c r="CS20" s="536"/>
      <c r="CT20" s="536"/>
      <c r="CU20" s="536"/>
      <c r="CV20" s="536"/>
      <c r="CW20" s="536"/>
      <c r="CX20" s="536"/>
      <c r="CY20" s="536"/>
      <c r="CZ20" s="536"/>
      <c r="DA20" s="536"/>
      <c r="DB20" s="536"/>
      <c r="DC20" s="536"/>
      <c r="DD20" s="536"/>
      <c r="DE20" s="536"/>
      <c r="DF20" s="536"/>
      <c r="DG20" s="536"/>
      <c r="DH20" s="536"/>
      <c r="DI20" s="536"/>
      <c r="DJ20" s="536"/>
      <c r="DK20" s="536"/>
      <c r="DL20" s="536"/>
      <c r="DM20" s="536"/>
      <c r="DN20" s="536"/>
      <c r="DO20" s="536"/>
      <c r="DP20" s="536"/>
      <c r="DQ20" s="536"/>
      <c r="DR20" s="536"/>
      <c r="DS20" s="536"/>
      <c r="DT20" s="536"/>
      <c r="DU20" s="536"/>
      <c r="DV20" s="536"/>
      <c r="DW20" s="536"/>
      <c r="DX20" s="536"/>
      <c r="DY20" s="536"/>
      <c r="DZ20" s="536"/>
      <c r="EA20" s="536"/>
      <c r="EB20" s="536"/>
      <c r="EC20" s="536"/>
      <c r="ED20" s="536"/>
      <c r="EE20" s="536"/>
      <c r="EF20" s="536"/>
      <c r="EG20" s="536"/>
      <c r="EH20" s="536"/>
      <c r="EI20" s="536"/>
      <c r="EJ20" s="536"/>
      <c r="EK20" s="536"/>
      <c r="EL20" s="536"/>
      <c r="EM20" s="536"/>
      <c r="EN20" s="536"/>
      <c r="EO20" s="536"/>
      <c r="EP20" s="536"/>
      <c r="EQ20" s="536"/>
      <c r="ER20" s="536"/>
      <c r="ES20" s="536"/>
      <c r="ET20" s="536"/>
      <c r="EU20" s="536"/>
      <c r="EV20" s="536"/>
      <c r="EW20" s="536"/>
      <c r="EX20" s="536"/>
      <c r="EY20" s="536"/>
      <c r="EZ20" s="536"/>
      <c r="FA20" s="536"/>
      <c r="FB20" s="536"/>
      <c r="FC20" s="536"/>
      <c r="FD20" s="536"/>
      <c r="FE20" s="536"/>
      <c r="FF20" s="536"/>
      <c r="FG20" s="536"/>
      <c r="FH20" s="536"/>
      <c r="FI20" s="536"/>
      <c r="FJ20" s="536"/>
      <c r="FK20" s="536"/>
      <c r="FL20" s="536"/>
      <c r="FM20" s="536"/>
      <c r="FN20" s="536"/>
      <c r="FO20" s="536"/>
      <c r="FP20" s="536"/>
      <c r="FQ20" s="536"/>
      <c r="FR20" s="536"/>
      <c r="FS20" s="536"/>
      <c r="FT20" s="536"/>
      <c r="FU20" s="536"/>
      <c r="FV20" s="536"/>
      <c r="FW20" s="536"/>
      <c r="FX20" s="536"/>
      <c r="FY20" s="536"/>
      <c r="FZ20" s="536"/>
      <c r="GA20" s="536"/>
      <c r="GB20" s="536"/>
      <c r="GC20" s="536"/>
      <c r="GD20" s="536"/>
      <c r="GE20" s="536"/>
      <c r="GF20" s="536"/>
      <c r="GG20" s="536"/>
      <c r="GH20" s="536"/>
      <c r="GI20" s="536"/>
      <c r="GJ20" s="536"/>
      <c r="GK20" s="536"/>
      <c r="GL20" s="536"/>
      <c r="GM20" s="536"/>
      <c r="GN20" s="536"/>
      <c r="GO20" s="536"/>
      <c r="GP20" s="536"/>
      <c r="GQ20" s="536"/>
      <c r="GR20" s="536"/>
      <c r="GS20" s="536"/>
      <c r="GT20" s="536"/>
      <c r="GU20" s="536"/>
      <c r="GV20" s="536"/>
      <c r="GW20" s="536"/>
      <c r="GX20" s="536"/>
      <c r="GY20" s="536"/>
      <c r="GZ20" s="536"/>
      <c r="HA20" s="536"/>
      <c r="HB20" s="536"/>
      <c r="HC20" s="536"/>
      <c r="HD20" s="536"/>
      <c r="HE20" s="536"/>
      <c r="HF20" s="536"/>
      <c r="HG20" s="536"/>
      <c r="HH20" s="536"/>
      <c r="HI20" s="536"/>
      <c r="HJ20" s="536"/>
      <c r="HK20" s="536"/>
      <c r="HL20" s="536"/>
      <c r="HM20" s="536"/>
      <c r="HN20" s="536"/>
      <c r="HO20" s="536"/>
      <c r="HP20" s="536"/>
      <c r="HQ20" s="536"/>
      <c r="HR20" s="536"/>
      <c r="HS20" s="536"/>
      <c r="HT20" s="536"/>
      <c r="HU20" s="536"/>
      <c r="HV20" s="536"/>
      <c r="HW20" s="536"/>
      <c r="HX20" s="536"/>
      <c r="HY20" s="536"/>
      <c r="HZ20" s="536"/>
      <c r="IA20" s="536"/>
      <c r="IB20" s="536"/>
      <c r="IC20" s="536"/>
      <c r="ID20" s="536"/>
      <c r="IE20" s="536"/>
      <c r="IF20" s="536"/>
      <c r="IG20" s="536"/>
      <c r="IH20" s="536"/>
      <c r="II20" s="536"/>
      <c r="IJ20" s="536"/>
      <c r="IK20" s="536"/>
      <c r="IL20" s="536"/>
      <c r="IM20" s="536"/>
      <c r="IN20" s="536"/>
      <c r="IO20" s="536"/>
      <c r="IP20" s="536"/>
      <c r="IQ20" s="536"/>
      <c r="IR20" s="536"/>
      <c r="IS20" s="536"/>
      <c r="IT20" s="536"/>
      <c r="IU20" s="536"/>
      <c r="IV20" s="536"/>
    </row>
    <row r="23" spans="1:256" x14ac:dyDescent="0.2">
      <c r="A23" s="546"/>
      <c r="B23" s="551"/>
      <c r="C23" s="551"/>
      <c r="D23" s="551"/>
      <c r="E23" s="551"/>
      <c r="AX23" s="551"/>
      <c r="AY23" s="551"/>
      <c r="AZ23" s="551"/>
      <c r="BA23" s="551"/>
      <c r="BB23" s="551"/>
      <c r="BC23" s="551"/>
      <c r="BD23" s="551"/>
      <c r="BE23" s="551"/>
      <c r="BF23" s="551"/>
      <c r="BG23" s="551"/>
      <c r="BH23" s="551"/>
      <c r="BI23" s="551"/>
      <c r="BJ23" s="551"/>
      <c r="BK23" s="551"/>
      <c r="BL23" s="551"/>
      <c r="BM23" s="551"/>
      <c r="BN23" s="551"/>
      <c r="BO23" s="551"/>
      <c r="BP23" s="551"/>
      <c r="BQ23" s="551"/>
      <c r="BR23" s="551"/>
      <c r="BS23" s="551"/>
      <c r="BT23" s="551"/>
      <c r="BU23" s="551"/>
      <c r="BV23" s="551"/>
      <c r="BW23" s="551"/>
      <c r="BX23" s="551"/>
      <c r="BY23" s="551"/>
      <c r="BZ23" s="551"/>
      <c r="CA23" s="551"/>
      <c r="CB23" s="551"/>
      <c r="CC23" s="551"/>
      <c r="CD23" s="551"/>
      <c r="CE23" s="551"/>
      <c r="CF23" s="551"/>
      <c r="CG23" s="551"/>
      <c r="CH23" s="551"/>
      <c r="CI23" s="551"/>
      <c r="CJ23" s="551"/>
      <c r="CK23" s="551"/>
      <c r="CL23" s="551"/>
      <c r="CM23" s="551"/>
      <c r="CN23" s="551"/>
      <c r="CO23" s="551"/>
      <c r="CP23" s="551"/>
      <c r="CQ23" s="551"/>
      <c r="CR23" s="551"/>
      <c r="CS23" s="551"/>
      <c r="CT23" s="551"/>
      <c r="CU23" s="551"/>
      <c r="CV23" s="551"/>
      <c r="CW23" s="551"/>
      <c r="CX23" s="551"/>
      <c r="CY23" s="551"/>
      <c r="CZ23" s="551"/>
      <c r="DA23" s="551"/>
      <c r="DB23" s="551"/>
      <c r="DC23" s="551"/>
      <c r="DD23" s="551"/>
      <c r="DE23" s="551"/>
      <c r="DF23" s="551"/>
      <c r="DG23" s="551"/>
      <c r="DH23" s="551"/>
      <c r="DI23" s="551"/>
      <c r="DJ23" s="551"/>
      <c r="DK23" s="551"/>
      <c r="DL23" s="551"/>
      <c r="DM23" s="551"/>
      <c r="DN23" s="551"/>
      <c r="DO23" s="551"/>
      <c r="DP23" s="551"/>
      <c r="DQ23" s="551"/>
      <c r="DR23" s="551"/>
      <c r="DS23" s="551"/>
      <c r="DT23" s="551"/>
      <c r="DU23" s="551"/>
      <c r="DV23" s="551"/>
      <c r="DW23" s="551"/>
      <c r="DX23" s="551"/>
      <c r="DY23" s="551"/>
      <c r="DZ23" s="551"/>
      <c r="EA23" s="551"/>
      <c r="EB23" s="551"/>
      <c r="EC23" s="551"/>
      <c r="ED23" s="551"/>
      <c r="EE23" s="551"/>
      <c r="EF23" s="551"/>
      <c r="EG23" s="551"/>
      <c r="EH23" s="551"/>
      <c r="EI23" s="551"/>
      <c r="EJ23" s="551"/>
      <c r="EK23" s="551"/>
      <c r="EL23" s="551"/>
      <c r="EM23" s="551"/>
      <c r="EN23" s="551"/>
      <c r="EO23" s="551"/>
      <c r="EP23" s="551"/>
      <c r="EQ23" s="551"/>
      <c r="ER23" s="551"/>
      <c r="ES23" s="551"/>
      <c r="ET23" s="551"/>
      <c r="EU23" s="551"/>
      <c r="EV23" s="551"/>
      <c r="EW23" s="551"/>
      <c r="EX23" s="551"/>
      <c r="EY23" s="551"/>
      <c r="EZ23" s="551"/>
      <c r="FA23" s="551"/>
      <c r="FB23" s="551"/>
      <c r="FC23" s="551"/>
      <c r="FD23" s="551"/>
      <c r="FE23" s="551"/>
      <c r="FF23" s="551"/>
      <c r="FG23" s="551"/>
      <c r="FH23" s="551"/>
      <c r="FI23" s="551"/>
      <c r="FJ23" s="551"/>
      <c r="FK23" s="551"/>
      <c r="FL23" s="551"/>
      <c r="FM23" s="551"/>
      <c r="FN23" s="551"/>
      <c r="FO23" s="551"/>
      <c r="FP23" s="551"/>
      <c r="FQ23" s="551"/>
      <c r="FR23" s="551"/>
      <c r="FS23" s="551"/>
      <c r="FT23" s="551"/>
      <c r="FU23" s="551"/>
      <c r="FV23" s="551"/>
      <c r="FW23" s="551"/>
      <c r="FX23" s="551"/>
      <c r="FY23" s="551"/>
      <c r="FZ23" s="551"/>
      <c r="GA23" s="551"/>
      <c r="GB23" s="551"/>
      <c r="GC23" s="551"/>
      <c r="GD23" s="551"/>
      <c r="GE23" s="551"/>
      <c r="GF23" s="551"/>
      <c r="GG23" s="551"/>
      <c r="GH23" s="551"/>
      <c r="GI23" s="551"/>
      <c r="GJ23" s="551"/>
      <c r="GK23" s="551"/>
      <c r="GL23" s="551"/>
      <c r="GM23" s="551"/>
      <c r="GN23" s="551"/>
      <c r="GO23" s="551"/>
      <c r="GP23" s="551"/>
      <c r="GQ23" s="551"/>
      <c r="GR23" s="551"/>
      <c r="GS23" s="551"/>
      <c r="GT23" s="551"/>
      <c r="GU23" s="551"/>
      <c r="GV23" s="551"/>
      <c r="GW23" s="551"/>
      <c r="GX23" s="551"/>
      <c r="GY23" s="551"/>
      <c r="GZ23" s="551"/>
      <c r="HA23" s="551"/>
      <c r="HB23" s="551"/>
      <c r="HC23" s="551"/>
      <c r="HD23" s="551"/>
      <c r="HE23" s="551"/>
      <c r="HF23" s="551"/>
      <c r="HG23" s="551"/>
      <c r="HH23" s="551"/>
      <c r="HI23" s="551"/>
      <c r="HJ23" s="551"/>
      <c r="HK23" s="551"/>
      <c r="HL23" s="551"/>
      <c r="HM23" s="551"/>
      <c r="HN23" s="551"/>
      <c r="HO23" s="551"/>
      <c r="HP23" s="551"/>
      <c r="HQ23" s="551"/>
      <c r="HR23" s="551"/>
      <c r="HS23" s="551"/>
      <c r="HT23" s="551"/>
      <c r="HU23" s="551"/>
      <c r="HV23" s="551"/>
      <c r="HW23" s="551"/>
      <c r="HX23" s="551"/>
      <c r="HY23" s="551"/>
      <c r="HZ23" s="551"/>
      <c r="IA23" s="551"/>
      <c r="IB23" s="551"/>
      <c r="IC23" s="551"/>
      <c r="ID23" s="551"/>
      <c r="IE23" s="551"/>
      <c r="IF23" s="551"/>
      <c r="IG23" s="551"/>
      <c r="IH23" s="551"/>
      <c r="II23" s="551"/>
      <c r="IJ23" s="551"/>
      <c r="IK23" s="551"/>
      <c r="IL23" s="551"/>
      <c r="IM23" s="551"/>
      <c r="IN23" s="551"/>
      <c r="IO23" s="551"/>
      <c r="IP23" s="551"/>
      <c r="IQ23" s="551"/>
      <c r="IR23" s="551"/>
      <c r="IS23" s="551"/>
      <c r="IT23" s="551"/>
      <c r="IU23" s="551"/>
      <c r="IV23" s="551"/>
    </row>
  </sheetData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1B10A-83EB-49C2-BAAF-802785197936}">
  <sheetPr>
    <tabColor rgb="FFFFFF00"/>
  </sheetPr>
  <dimension ref="A2:P40"/>
  <sheetViews>
    <sheetView workbookViewId="0">
      <selection activeCell="D3" sqref="D3"/>
    </sheetView>
  </sheetViews>
  <sheetFormatPr defaultColWidth="9.140625" defaultRowHeight="12.75" x14ac:dyDescent="0.2"/>
  <cols>
    <col min="1" max="1" width="1.7109375" style="601" customWidth="1"/>
    <col min="2" max="3" width="9.140625" style="584" hidden="1" customWidth="1"/>
    <col min="4" max="5" width="12.85546875" style="584" hidden="1" customWidth="1"/>
    <col min="6" max="7" width="14.7109375" style="584" hidden="1" customWidth="1"/>
    <col min="8" max="8" width="4" style="584" customWidth="1"/>
    <col min="9" max="10" width="9.140625" style="584"/>
    <col min="11" max="11" width="12.85546875" style="584" bestFit="1" customWidth="1"/>
    <col min="12" max="12" width="11.5703125" style="584" customWidth="1"/>
    <col min="13" max="15" width="14.7109375" style="584" customWidth="1"/>
    <col min="16" max="16" width="31" style="584" customWidth="1"/>
    <col min="17" max="17" width="10.28515625" style="584" bestFit="1" customWidth="1"/>
    <col min="18" max="256" width="9.140625" style="584"/>
    <col min="257" max="257" width="1.7109375" style="584" customWidth="1"/>
    <col min="258" max="263" width="0" style="584" hidden="1" customWidth="1"/>
    <col min="264" max="264" width="4" style="584" customWidth="1"/>
    <col min="265" max="266" width="9.140625" style="584"/>
    <col min="267" max="267" width="12.85546875" style="584" bestFit="1" customWidth="1"/>
    <col min="268" max="268" width="11.5703125" style="584" customWidth="1"/>
    <col min="269" max="271" width="14.7109375" style="584" customWidth="1"/>
    <col min="272" max="272" width="31" style="584" customWidth="1"/>
    <col min="273" max="273" width="10.28515625" style="584" bestFit="1" customWidth="1"/>
    <col min="274" max="512" width="9.140625" style="584"/>
    <col min="513" max="513" width="1.7109375" style="584" customWidth="1"/>
    <col min="514" max="519" width="0" style="584" hidden="1" customWidth="1"/>
    <col min="520" max="520" width="4" style="584" customWidth="1"/>
    <col min="521" max="522" width="9.140625" style="584"/>
    <col min="523" max="523" width="12.85546875" style="584" bestFit="1" customWidth="1"/>
    <col min="524" max="524" width="11.5703125" style="584" customWidth="1"/>
    <col min="525" max="527" width="14.7109375" style="584" customWidth="1"/>
    <col min="528" max="528" width="31" style="584" customWidth="1"/>
    <col min="529" max="529" width="10.28515625" style="584" bestFit="1" customWidth="1"/>
    <col min="530" max="768" width="9.140625" style="584"/>
    <col min="769" max="769" width="1.7109375" style="584" customWidth="1"/>
    <col min="770" max="775" width="0" style="584" hidden="1" customWidth="1"/>
    <col min="776" max="776" width="4" style="584" customWidth="1"/>
    <col min="777" max="778" width="9.140625" style="584"/>
    <col min="779" max="779" width="12.85546875" style="584" bestFit="1" customWidth="1"/>
    <col min="780" max="780" width="11.5703125" style="584" customWidth="1"/>
    <col min="781" max="783" width="14.7109375" style="584" customWidth="1"/>
    <col min="784" max="784" width="31" style="584" customWidth="1"/>
    <col min="785" max="785" width="10.28515625" style="584" bestFit="1" customWidth="1"/>
    <col min="786" max="1024" width="9.140625" style="584"/>
    <col min="1025" max="1025" width="1.7109375" style="584" customWidth="1"/>
    <col min="1026" max="1031" width="0" style="584" hidden="1" customWidth="1"/>
    <col min="1032" max="1032" width="4" style="584" customWidth="1"/>
    <col min="1033" max="1034" width="9.140625" style="584"/>
    <col min="1035" max="1035" width="12.85546875" style="584" bestFit="1" customWidth="1"/>
    <col min="1036" max="1036" width="11.5703125" style="584" customWidth="1"/>
    <col min="1037" max="1039" width="14.7109375" style="584" customWidth="1"/>
    <col min="1040" max="1040" width="31" style="584" customWidth="1"/>
    <col min="1041" max="1041" width="10.28515625" style="584" bestFit="1" customWidth="1"/>
    <col min="1042" max="1280" width="9.140625" style="584"/>
    <col min="1281" max="1281" width="1.7109375" style="584" customWidth="1"/>
    <col min="1282" max="1287" width="0" style="584" hidden="1" customWidth="1"/>
    <col min="1288" max="1288" width="4" style="584" customWidth="1"/>
    <col min="1289" max="1290" width="9.140625" style="584"/>
    <col min="1291" max="1291" width="12.85546875" style="584" bestFit="1" customWidth="1"/>
    <col min="1292" max="1292" width="11.5703125" style="584" customWidth="1"/>
    <col min="1293" max="1295" width="14.7109375" style="584" customWidth="1"/>
    <col min="1296" max="1296" width="31" style="584" customWidth="1"/>
    <col min="1297" max="1297" width="10.28515625" style="584" bestFit="1" customWidth="1"/>
    <col min="1298" max="1536" width="9.140625" style="584"/>
    <col min="1537" max="1537" width="1.7109375" style="584" customWidth="1"/>
    <col min="1538" max="1543" width="0" style="584" hidden="1" customWidth="1"/>
    <col min="1544" max="1544" width="4" style="584" customWidth="1"/>
    <col min="1545" max="1546" width="9.140625" style="584"/>
    <col min="1547" max="1547" width="12.85546875" style="584" bestFit="1" customWidth="1"/>
    <col min="1548" max="1548" width="11.5703125" style="584" customWidth="1"/>
    <col min="1549" max="1551" width="14.7109375" style="584" customWidth="1"/>
    <col min="1552" max="1552" width="31" style="584" customWidth="1"/>
    <col min="1553" max="1553" width="10.28515625" style="584" bestFit="1" customWidth="1"/>
    <col min="1554" max="1792" width="9.140625" style="584"/>
    <col min="1793" max="1793" width="1.7109375" style="584" customWidth="1"/>
    <col min="1794" max="1799" width="0" style="584" hidden="1" customWidth="1"/>
    <col min="1800" max="1800" width="4" style="584" customWidth="1"/>
    <col min="1801" max="1802" width="9.140625" style="584"/>
    <col min="1803" max="1803" width="12.85546875" style="584" bestFit="1" customWidth="1"/>
    <col min="1804" max="1804" width="11.5703125" style="584" customWidth="1"/>
    <col min="1805" max="1807" width="14.7109375" style="584" customWidth="1"/>
    <col min="1808" max="1808" width="31" style="584" customWidth="1"/>
    <col min="1809" max="1809" width="10.28515625" style="584" bestFit="1" customWidth="1"/>
    <col min="1810" max="2048" width="9.140625" style="584"/>
    <col min="2049" max="2049" width="1.7109375" style="584" customWidth="1"/>
    <col min="2050" max="2055" width="0" style="584" hidden="1" customWidth="1"/>
    <col min="2056" max="2056" width="4" style="584" customWidth="1"/>
    <col min="2057" max="2058" width="9.140625" style="584"/>
    <col min="2059" max="2059" width="12.85546875" style="584" bestFit="1" customWidth="1"/>
    <col min="2060" max="2060" width="11.5703125" style="584" customWidth="1"/>
    <col min="2061" max="2063" width="14.7109375" style="584" customWidth="1"/>
    <col min="2064" max="2064" width="31" style="584" customWidth="1"/>
    <col min="2065" max="2065" width="10.28515625" style="584" bestFit="1" customWidth="1"/>
    <col min="2066" max="2304" width="9.140625" style="584"/>
    <col min="2305" max="2305" width="1.7109375" style="584" customWidth="1"/>
    <col min="2306" max="2311" width="0" style="584" hidden="1" customWidth="1"/>
    <col min="2312" max="2312" width="4" style="584" customWidth="1"/>
    <col min="2313" max="2314" width="9.140625" style="584"/>
    <col min="2315" max="2315" width="12.85546875" style="584" bestFit="1" customWidth="1"/>
    <col min="2316" max="2316" width="11.5703125" style="584" customWidth="1"/>
    <col min="2317" max="2319" width="14.7109375" style="584" customWidth="1"/>
    <col min="2320" max="2320" width="31" style="584" customWidth="1"/>
    <col min="2321" max="2321" width="10.28515625" style="584" bestFit="1" customWidth="1"/>
    <col min="2322" max="2560" width="9.140625" style="584"/>
    <col min="2561" max="2561" width="1.7109375" style="584" customWidth="1"/>
    <col min="2562" max="2567" width="0" style="584" hidden="1" customWidth="1"/>
    <col min="2568" max="2568" width="4" style="584" customWidth="1"/>
    <col min="2569" max="2570" width="9.140625" style="584"/>
    <col min="2571" max="2571" width="12.85546875" style="584" bestFit="1" customWidth="1"/>
    <col min="2572" max="2572" width="11.5703125" style="584" customWidth="1"/>
    <col min="2573" max="2575" width="14.7109375" style="584" customWidth="1"/>
    <col min="2576" max="2576" width="31" style="584" customWidth="1"/>
    <col min="2577" max="2577" width="10.28515625" style="584" bestFit="1" customWidth="1"/>
    <col min="2578" max="2816" width="9.140625" style="584"/>
    <col min="2817" max="2817" width="1.7109375" style="584" customWidth="1"/>
    <col min="2818" max="2823" width="0" style="584" hidden="1" customWidth="1"/>
    <col min="2824" max="2824" width="4" style="584" customWidth="1"/>
    <col min="2825" max="2826" width="9.140625" style="584"/>
    <col min="2827" max="2827" width="12.85546875" style="584" bestFit="1" customWidth="1"/>
    <col min="2828" max="2828" width="11.5703125" style="584" customWidth="1"/>
    <col min="2829" max="2831" width="14.7109375" style="584" customWidth="1"/>
    <col min="2832" max="2832" width="31" style="584" customWidth="1"/>
    <col min="2833" max="2833" width="10.28515625" style="584" bestFit="1" customWidth="1"/>
    <col min="2834" max="3072" width="9.140625" style="584"/>
    <col min="3073" max="3073" width="1.7109375" style="584" customWidth="1"/>
    <col min="3074" max="3079" width="0" style="584" hidden="1" customWidth="1"/>
    <col min="3080" max="3080" width="4" style="584" customWidth="1"/>
    <col min="3081" max="3082" width="9.140625" style="584"/>
    <col min="3083" max="3083" width="12.85546875" style="584" bestFit="1" customWidth="1"/>
    <col min="3084" max="3084" width="11.5703125" style="584" customWidth="1"/>
    <col min="3085" max="3087" width="14.7109375" style="584" customWidth="1"/>
    <col min="3088" max="3088" width="31" style="584" customWidth="1"/>
    <col min="3089" max="3089" width="10.28515625" style="584" bestFit="1" customWidth="1"/>
    <col min="3090" max="3328" width="9.140625" style="584"/>
    <col min="3329" max="3329" width="1.7109375" style="584" customWidth="1"/>
    <col min="3330" max="3335" width="0" style="584" hidden="1" customWidth="1"/>
    <col min="3336" max="3336" width="4" style="584" customWidth="1"/>
    <col min="3337" max="3338" width="9.140625" style="584"/>
    <col min="3339" max="3339" width="12.85546875" style="584" bestFit="1" customWidth="1"/>
    <col min="3340" max="3340" width="11.5703125" style="584" customWidth="1"/>
    <col min="3341" max="3343" width="14.7109375" style="584" customWidth="1"/>
    <col min="3344" max="3344" width="31" style="584" customWidth="1"/>
    <col min="3345" max="3345" width="10.28515625" style="584" bestFit="1" customWidth="1"/>
    <col min="3346" max="3584" width="9.140625" style="584"/>
    <col min="3585" max="3585" width="1.7109375" style="584" customWidth="1"/>
    <col min="3586" max="3591" width="0" style="584" hidden="1" customWidth="1"/>
    <col min="3592" max="3592" width="4" style="584" customWidth="1"/>
    <col min="3593" max="3594" width="9.140625" style="584"/>
    <col min="3595" max="3595" width="12.85546875" style="584" bestFit="1" customWidth="1"/>
    <col min="3596" max="3596" width="11.5703125" style="584" customWidth="1"/>
    <col min="3597" max="3599" width="14.7109375" style="584" customWidth="1"/>
    <col min="3600" max="3600" width="31" style="584" customWidth="1"/>
    <col min="3601" max="3601" width="10.28515625" style="584" bestFit="1" customWidth="1"/>
    <col min="3602" max="3840" width="9.140625" style="584"/>
    <col min="3841" max="3841" width="1.7109375" style="584" customWidth="1"/>
    <col min="3842" max="3847" width="0" style="584" hidden="1" customWidth="1"/>
    <col min="3848" max="3848" width="4" style="584" customWidth="1"/>
    <col min="3849" max="3850" width="9.140625" style="584"/>
    <col min="3851" max="3851" width="12.85546875" style="584" bestFit="1" customWidth="1"/>
    <col min="3852" max="3852" width="11.5703125" style="584" customWidth="1"/>
    <col min="3853" max="3855" width="14.7109375" style="584" customWidth="1"/>
    <col min="3856" max="3856" width="31" style="584" customWidth="1"/>
    <col min="3857" max="3857" width="10.28515625" style="584" bestFit="1" customWidth="1"/>
    <col min="3858" max="4096" width="9.140625" style="584"/>
    <col min="4097" max="4097" width="1.7109375" style="584" customWidth="1"/>
    <col min="4098" max="4103" width="0" style="584" hidden="1" customWidth="1"/>
    <col min="4104" max="4104" width="4" style="584" customWidth="1"/>
    <col min="4105" max="4106" width="9.140625" style="584"/>
    <col min="4107" max="4107" width="12.85546875" style="584" bestFit="1" customWidth="1"/>
    <col min="4108" max="4108" width="11.5703125" style="584" customWidth="1"/>
    <col min="4109" max="4111" width="14.7109375" style="584" customWidth="1"/>
    <col min="4112" max="4112" width="31" style="584" customWidth="1"/>
    <col min="4113" max="4113" width="10.28515625" style="584" bestFit="1" customWidth="1"/>
    <col min="4114" max="4352" width="9.140625" style="584"/>
    <col min="4353" max="4353" width="1.7109375" style="584" customWidth="1"/>
    <col min="4354" max="4359" width="0" style="584" hidden="1" customWidth="1"/>
    <col min="4360" max="4360" width="4" style="584" customWidth="1"/>
    <col min="4361" max="4362" width="9.140625" style="584"/>
    <col min="4363" max="4363" width="12.85546875" style="584" bestFit="1" customWidth="1"/>
    <col min="4364" max="4364" width="11.5703125" style="584" customWidth="1"/>
    <col min="4365" max="4367" width="14.7109375" style="584" customWidth="1"/>
    <col min="4368" max="4368" width="31" style="584" customWidth="1"/>
    <col min="4369" max="4369" width="10.28515625" style="584" bestFit="1" customWidth="1"/>
    <col min="4370" max="4608" width="9.140625" style="584"/>
    <col min="4609" max="4609" width="1.7109375" style="584" customWidth="1"/>
    <col min="4610" max="4615" width="0" style="584" hidden="1" customWidth="1"/>
    <col min="4616" max="4616" width="4" style="584" customWidth="1"/>
    <col min="4617" max="4618" width="9.140625" style="584"/>
    <col min="4619" max="4619" width="12.85546875" style="584" bestFit="1" customWidth="1"/>
    <col min="4620" max="4620" width="11.5703125" style="584" customWidth="1"/>
    <col min="4621" max="4623" width="14.7109375" style="584" customWidth="1"/>
    <col min="4624" max="4624" width="31" style="584" customWidth="1"/>
    <col min="4625" max="4625" width="10.28515625" style="584" bestFit="1" customWidth="1"/>
    <col min="4626" max="4864" width="9.140625" style="584"/>
    <col min="4865" max="4865" width="1.7109375" style="584" customWidth="1"/>
    <col min="4866" max="4871" width="0" style="584" hidden="1" customWidth="1"/>
    <col min="4872" max="4872" width="4" style="584" customWidth="1"/>
    <col min="4873" max="4874" width="9.140625" style="584"/>
    <col min="4875" max="4875" width="12.85546875" style="584" bestFit="1" customWidth="1"/>
    <col min="4876" max="4876" width="11.5703125" style="584" customWidth="1"/>
    <col min="4877" max="4879" width="14.7109375" style="584" customWidth="1"/>
    <col min="4880" max="4880" width="31" style="584" customWidth="1"/>
    <col min="4881" max="4881" width="10.28515625" style="584" bestFit="1" customWidth="1"/>
    <col min="4882" max="5120" width="9.140625" style="584"/>
    <col min="5121" max="5121" width="1.7109375" style="584" customWidth="1"/>
    <col min="5122" max="5127" width="0" style="584" hidden="1" customWidth="1"/>
    <col min="5128" max="5128" width="4" style="584" customWidth="1"/>
    <col min="5129" max="5130" width="9.140625" style="584"/>
    <col min="5131" max="5131" width="12.85546875" style="584" bestFit="1" customWidth="1"/>
    <col min="5132" max="5132" width="11.5703125" style="584" customWidth="1"/>
    <col min="5133" max="5135" width="14.7109375" style="584" customWidth="1"/>
    <col min="5136" max="5136" width="31" style="584" customWidth="1"/>
    <col min="5137" max="5137" width="10.28515625" style="584" bestFit="1" customWidth="1"/>
    <col min="5138" max="5376" width="9.140625" style="584"/>
    <col min="5377" max="5377" width="1.7109375" style="584" customWidth="1"/>
    <col min="5378" max="5383" width="0" style="584" hidden="1" customWidth="1"/>
    <col min="5384" max="5384" width="4" style="584" customWidth="1"/>
    <col min="5385" max="5386" width="9.140625" style="584"/>
    <col min="5387" max="5387" width="12.85546875" style="584" bestFit="1" customWidth="1"/>
    <col min="5388" max="5388" width="11.5703125" style="584" customWidth="1"/>
    <col min="5389" max="5391" width="14.7109375" style="584" customWidth="1"/>
    <col min="5392" max="5392" width="31" style="584" customWidth="1"/>
    <col min="5393" max="5393" width="10.28515625" style="584" bestFit="1" customWidth="1"/>
    <col min="5394" max="5632" width="9.140625" style="584"/>
    <col min="5633" max="5633" width="1.7109375" style="584" customWidth="1"/>
    <col min="5634" max="5639" width="0" style="584" hidden="1" customWidth="1"/>
    <col min="5640" max="5640" width="4" style="584" customWidth="1"/>
    <col min="5641" max="5642" width="9.140625" style="584"/>
    <col min="5643" max="5643" width="12.85546875" style="584" bestFit="1" customWidth="1"/>
    <col min="5644" max="5644" width="11.5703125" style="584" customWidth="1"/>
    <col min="5645" max="5647" width="14.7109375" style="584" customWidth="1"/>
    <col min="5648" max="5648" width="31" style="584" customWidth="1"/>
    <col min="5649" max="5649" width="10.28515625" style="584" bestFit="1" customWidth="1"/>
    <col min="5650" max="5888" width="9.140625" style="584"/>
    <col min="5889" max="5889" width="1.7109375" style="584" customWidth="1"/>
    <col min="5890" max="5895" width="0" style="584" hidden="1" customWidth="1"/>
    <col min="5896" max="5896" width="4" style="584" customWidth="1"/>
    <col min="5897" max="5898" width="9.140625" style="584"/>
    <col min="5899" max="5899" width="12.85546875" style="584" bestFit="1" customWidth="1"/>
    <col min="5900" max="5900" width="11.5703125" style="584" customWidth="1"/>
    <col min="5901" max="5903" width="14.7109375" style="584" customWidth="1"/>
    <col min="5904" max="5904" width="31" style="584" customWidth="1"/>
    <col min="5905" max="5905" width="10.28515625" style="584" bestFit="1" customWidth="1"/>
    <col min="5906" max="6144" width="9.140625" style="584"/>
    <col min="6145" max="6145" width="1.7109375" style="584" customWidth="1"/>
    <col min="6146" max="6151" width="0" style="584" hidden="1" customWidth="1"/>
    <col min="6152" max="6152" width="4" style="584" customWidth="1"/>
    <col min="6153" max="6154" width="9.140625" style="584"/>
    <col min="6155" max="6155" width="12.85546875" style="584" bestFit="1" customWidth="1"/>
    <col min="6156" max="6156" width="11.5703125" style="584" customWidth="1"/>
    <col min="6157" max="6159" width="14.7109375" style="584" customWidth="1"/>
    <col min="6160" max="6160" width="31" style="584" customWidth="1"/>
    <col min="6161" max="6161" width="10.28515625" style="584" bestFit="1" customWidth="1"/>
    <col min="6162" max="6400" width="9.140625" style="584"/>
    <col min="6401" max="6401" width="1.7109375" style="584" customWidth="1"/>
    <col min="6402" max="6407" width="0" style="584" hidden="1" customWidth="1"/>
    <col min="6408" max="6408" width="4" style="584" customWidth="1"/>
    <col min="6409" max="6410" width="9.140625" style="584"/>
    <col min="6411" max="6411" width="12.85546875" style="584" bestFit="1" customWidth="1"/>
    <col min="6412" max="6412" width="11.5703125" style="584" customWidth="1"/>
    <col min="6413" max="6415" width="14.7109375" style="584" customWidth="1"/>
    <col min="6416" max="6416" width="31" style="584" customWidth="1"/>
    <col min="6417" max="6417" width="10.28515625" style="584" bestFit="1" customWidth="1"/>
    <col min="6418" max="6656" width="9.140625" style="584"/>
    <col min="6657" max="6657" width="1.7109375" style="584" customWidth="1"/>
    <col min="6658" max="6663" width="0" style="584" hidden="1" customWidth="1"/>
    <col min="6664" max="6664" width="4" style="584" customWidth="1"/>
    <col min="6665" max="6666" width="9.140625" style="584"/>
    <col min="6667" max="6667" width="12.85546875" style="584" bestFit="1" customWidth="1"/>
    <col min="6668" max="6668" width="11.5703125" style="584" customWidth="1"/>
    <col min="6669" max="6671" width="14.7109375" style="584" customWidth="1"/>
    <col min="6672" max="6672" width="31" style="584" customWidth="1"/>
    <col min="6673" max="6673" width="10.28515625" style="584" bestFit="1" customWidth="1"/>
    <col min="6674" max="6912" width="9.140625" style="584"/>
    <col min="6913" max="6913" width="1.7109375" style="584" customWidth="1"/>
    <col min="6914" max="6919" width="0" style="584" hidden="1" customWidth="1"/>
    <col min="6920" max="6920" width="4" style="584" customWidth="1"/>
    <col min="6921" max="6922" width="9.140625" style="584"/>
    <col min="6923" max="6923" width="12.85546875" style="584" bestFit="1" customWidth="1"/>
    <col min="6924" max="6924" width="11.5703125" style="584" customWidth="1"/>
    <col min="6925" max="6927" width="14.7109375" style="584" customWidth="1"/>
    <col min="6928" max="6928" width="31" style="584" customWidth="1"/>
    <col min="6929" max="6929" width="10.28515625" style="584" bestFit="1" customWidth="1"/>
    <col min="6930" max="7168" width="9.140625" style="584"/>
    <col min="7169" max="7169" width="1.7109375" style="584" customWidth="1"/>
    <col min="7170" max="7175" width="0" style="584" hidden="1" customWidth="1"/>
    <col min="7176" max="7176" width="4" style="584" customWidth="1"/>
    <col min="7177" max="7178" width="9.140625" style="584"/>
    <col min="7179" max="7179" width="12.85546875" style="584" bestFit="1" customWidth="1"/>
    <col min="7180" max="7180" width="11.5703125" style="584" customWidth="1"/>
    <col min="7181" max="7183" width="14.7109375" style="584" customWidth="1"/>
    <col min="7184" max="7184" width="31" style="584" customWidth="1"/>
    <col min="7185" max="7185" width="10.28515625" style="584" bestFit="1" customWidth="1"/>
    <col min="7186" max="7424" width="9.140625" style="584"/>
    <col min="7425" max="7425" width="1.7109375" style="584" customWidth="1"/>
    <col min="7426" max="7431" width="0" style="584" hidden="1" customWidth="1"/>
    <col min="7432" max="7432" width="4" style="584" customWidth="1"/>
    <col min="7433" max="7434" width="9.140625" style="584"/>
    <col min="7435" max="7435" width="12.85546875" style="584" bestFit="1" customWidth="1"/>
    <col min="7436" max="7436" width="11.5703125" style="584" customWidth="1"/>
    <col min="7437" max="7439" width="14.7109375" style="584" customWidth="1"/>
    <col min="7440" max="7440" width="31" style="584" customWidth="1"/>
    <col min="7441" max="7441" width="10.28515625" style="584" bestFit="1" customWidth="1"/>
    <col min="7442" max="7680" width="9.140625" style="584"/>
    <col min="7681" max="7681" width="1.7109375" style="584" customWidth="1"/>
    <col min="7682" max="7687" width="0" style="584" hidden="1" customWidth="1"/>
    <col min="7688" max="7688" width="4" style="584" customWidth="1"/>
    <col min="7689" max="7690" width="9.140625" style="584"/>
    <col min="7691" max="7691" width="12.85546875" style="584" bestFit="1" customWidth="1"/>
    <col min="7692" max="7692" width="11.5703125" style="584" customWidth="1"/>
    <col min="7693" max="7695" width="14.7109375" style="584" customWidth="1"/>
    <col min="7696" max="7696" width="31" style="584" customWidth="1"/>
    <col min="7697" max="7697" width="10.28515625" style="584" bestFit="1" customWidth="1"/>
    <col min="7698" max="7936" width="9.140625" style="584"/>
    <col min="7937" max="7937" width="1.7109375" style="584" customWidth="1"/>
    <col min="7938" max="7943" width="0" style="584" hidden="1" customWidth="1"/>
    <col min="7944" max="7944" width="4" style="584" customWidth="1"/>
    <col min="7945" max="7946" width="9.140625" style="584"/>
    <col min="7947" max="7947" width="12.85546875" style="584" bestFit="1" customWidth="1"/>
    <col min="7948" max="7948" width="11.5703125" style="584" customWidth="1"/>
    <col min="7949" max="7951" width="14.7109375" style="584" customWidth="1"/>
    <col min="7952" max="7952" width="31" style="584" customWidth="1"/>
    <col min="7953" max="7953" width="10.28515625" style="584" bestFit="1" customWidth="1"/>
    <col min="7954" max="8192" width="9.140625" style="584"/>
    <col min="8193" max="8193" width="1.7109375" style="584" customWidth="1"/>
    <col min="8194" max="8199" width="0" style="584" hidden="1" customWidth="1"/>
    <col min="8200" max="8200" width="4" style="584" customWidth="1"/>
    <col min="8201" max="8202" width="9.140625" style="584"/>
    <col min="8203" max="8203" width="12.85546875" style="584" bestFit="1" customWidth="1"/>
    <col min="8204" max="8204" width="11.5703125" style="584" customWidth="1"/>
    <col min="8205" max="8207" width="14.7109375" style="584" customWidth="1"/>
    <col min="8208" max="8208" width="31" style="584" customWidth="1"/>
    <col min="8209" max="8209" width="10.28515625" style="584" bestFit="1" customWidth="1"/>
    <col min="8210" max="8448" width="9.140625" style="584"/>
    <col min="8449" max="8449" width="1.7109375" style="584" customWidth="1"/>
    <col min="8450" max="8455" width="0" style="584" hidden="1" customWidth="1"/>
    <col min="8456" max="8456" width="4" style="584" customWidth="1"/>
    <col min="8457" max="8458" width="9.140625" style="584"/>
    <col min="8459" max="8459" width="12.85546875" style="584" bestFit="1" customWidth="1"/>
    <col min="8460" max="8460" width="11.5703125" style="584" customWidth="1"/>
    <col min="8461" max="8463" width="14.7109375" style="584" customWidth="1"/>
    <col min="8464" max="8464" width="31" style="584" customWidth="1"/>
    <col min="8465" max="8465" width="10.28515625" style="584" bestFit="1" customWidth="1"/>
    <col min="8466" max="8704" width="9.140625" style="584"/>
    <col min="8705" max="8705" width="1.7109375" style="584" customWidth="1"/>
    <col min="8706" max="8711" width="0" style="584" hidden="1" customWidth="1"/>
    <col min="8712" max="8712" width="4" style="584" customWidth="1"/>
    <col min="8713" max="8714" width="9.140625" style="584"/>
    <col min="8715" max="8715" width="12.85546875" style="584" bestFit="1" customWidth="1"/>
    <col min="8716" max="8716" width="11.5703125" style="584" customWidth="1"/>
    <col min="8717" max="8719" width="14.7109375" style="584" customWidth="1"/>
    <col min="8720" max="8720" width="31" style="584" customWidth="1"/>
    <col min="8721" max="8721" width="10.28515625" style="584" bestFit="1" customWidth="1"/>
    <col min="8722" max="8960" width="9.140625" style="584"/>
    <col min="8961" max="8961" width="1.7109375" style="584" customWidth="1"/>
    <col min="8962" max="8967" width="0" style="584" hidden="1" customWidth="1"/>
    <col min="8968" max="8968" width="4" style="584" customWidth="1"/>
    <col min="8969" max="8970" width="9.140625" style="584"/>
    <col min="8971" max="8971" width="12.85546875" style="584" bestFit="1" customWidth="1"/>
    <col min="8972" max="8972" width="11.5703125" style="584" customWidth="1"/>
    <col min="8973" max="8975" width="14.7109375" style="584" customWidth="1"/>
    <col min="8976" max="8976" width="31" style="584" customWidth="1"/>
    <col min="8977" max="8977" width="10.28515625" style="584" bestFit="1" customWidth="1"/>
    <col min="8978" max="9216" width="9.140625" style="584"/>
    <col min="9217" max="9217" width="1.7109375" style="584" customWidth="1"/>
    <col min="9218" max="9223" width="0" style="584" hidden="1" customWidth="1"/>
    <col min="9224" max="9224" width="4" style="584" customWidth="1"/>
    <col min="9225" max="9226" width="9.140625" style="584"/>
    <col min="9227" max="9227" width="12.85546875" style="584" bestFit="1" customWidth="1"/>
    <col min="9228" max="9228" width="11.5703125" style="584" customWidth="1"/>
    <col min="9229" max="9231" width="14.7109375" style="584" customWidth="1"/>
    <col min="9232" max="9232" width="31" style="584" customWidth="1"/>
    <col min="9233" max="9233" width="10.28515625" style="584" bestFit="1" customWidth="1"/>
    <col min="9234" max="9472" width="9.140625" style="584"/>
    <col min="9473" max="9473" width="1.7109375" style="584" customWidth="1"/>
    <col min="9474" max="9479" width="0" style="584" hidden="1" customWidth="1"/>
    <col min="9480" max="9480" width="4" style="584" customWidth="1"/>
    <col min="9481" max="9482" width="9.140625" style="584"/>
    <col min="9483" max="9483" width="12.85546875" style="584" bestFit="1" customWidth="1"/>
    <col min="9484" max="9484" width="11.5703125" style="584" customWidth="1"/>
    <col min="9485" max="9487" width="14.7109375" style="584" customWidth="1"/>
    <col min="9488" max="9488" width="31" style="584" customWidth="1"/>
    <col min="9489" max="9489" width="10.28515625" style="584" bestFit="1" customWidth="1"/>
    <col min="9490" max="9728" width="9.140625" style="584"/>
    <col min="9729" max="9729" width="1.7109375" style="584" customWidth="1"/>
    <col min="9730" max="9735" width="0" style="584" hidden="1" customWidth="1"/>
    <col min="9736" max="9736" width="4" style="584" customWidth="1"/>
    <col min="9737" max="9738" width="9.140625" style="584"/>
    <col min="9739" max="9739" width="12.85546875" style="584" bestFit="1" customWidth="1"/>
    <col min="9740" max="9740" width="11.5703125" style="584" customWidth="1"/>
    <col min="9741" max="9743" width="14.7109375" style="584" customWidth="1"/>
    <col min="9744" max="9744" width="31" style="584" customWidth="1"/>
    <col min="9745" max="9745" width="10.28515625" style="584" bestFit="1" customWidth="1"/>
    <col min="9746" max="9984" width="9.140625" style="584"/>
    <col min="9985" max="9985" width="1.7109375" style="584" customWidth="1"/>
    <col min="9986" max="9991" width="0" style="584" hidden="1" customWidth="1"/>
    <col min="9992" max="9992" width="4" style="584" customWidth="1"/>
    <col min="9993" max="9994" width="9.140625" style="584"/>
    <col min="9995" max="9995" width="12.85546875" style="584" bestFit="1" customWidth="1"/>
    <col min="9996" max="9996" width="11.5703125" style="584" customWidth="1"/>
    <col min="9997" max="9999" width="14.7109375" style="584" customWidth="1"/>
    <col min="10000" max="10000" width="31" style="584" customWidth="1"/>
    <col min="10001" max="10001" width="10.28515625" style="584" bestFit="1" customWidth="1"/>
    <col min="10002" max="10240" width="9.140625" style="584"/>
    <col min="10241" max="10241" width="1.7109375" style="584" customWidth="1"/>
    <col min="10242" max="10247" width="0" style="584" hidden="1" customWidth="1"/>
    <col min="10248" max="10248" width="4" style="584" customWidth="1"/>
    <col min="10249" max="10250" width="9.140625" style="584"/>
    <col min="10251" max="10251" width="12.85546875" style="584" bestFit="1" customWidth="1"/>
    <col min="10252" max="10252" width="11.5703125" style="584" customWidth="1"/>
    <col min="10253" max="10255" width="14.7109375" style="584" customWidth="1"/>
    <col min="10256" max="10256" width="31" style="584" customWidth="1"/>
    <col min="10257" max="10257" width="10.28515625" style="584" bestFit="1" customWidth="1"/>
    <col min="10258" max="10496" width="9.140625" style="584"/>
    <col min="10497" max="10497" width="1.7109375" style="584" customWidth="1"/>
    <col min="10498" max="10503" width="0" style="584" hidden="1" customWidth="1"/>
    <col min="10504" max="10504" width="4" style="584" customWidth="1"/>
    <col min="10505" max="10506" width="9.140625" style="584"/>
    <col min="10507" max="10507" width="12.85546875" style="584" bestFit="1" customWidth="1"/>
    <col min="10508" max="10508" width="11.5703125" style="584" customWidth="1"/>
    <col min="10509" max="10511" width="14.7109375" style="584" customWidth="1"/>
    <col min="10512" max="10512" width="31" style="584" customWidth="1"/>
    <col min="10513" max="10513" width="10.28515625" style="584" bestFit="1" customWidth="1"/>
    <col min="10514" max="10752" width="9.140625" style="584"/>
    <col min="10753" max="10753" width="1.7109375" style="584" customWidth="1"/>
    <col min="10754" max="10759" width="0" style="584" hidden="1" customWidth="1"/>
    <col min="10760" max="10760" width="4" style="584" customWidth="1"/>
    <col min="10761" max="10762" width="9.140625" style="584"/>
    <col min="10763" max="10763" width="12.85546875" style="584" bestFit="1" customWidth="1"/>
    <col min="10764" max="10764" width="11.5703125" style="584" customWidth="1"/>
    <col min="10765" max="10767" width="14.7109375" style="584" customWidth="1"/>
    <col min="10768" max="10768" width="31" style="584" customWidth="1"/>
    <col min="10769" max="10769" width="10.28515625" style="584" bestFit="1" customWidth="1"/>
    <col min="10770" max="11008" width="9.140625" style="584"/>
    <col min="11009" max="11009" width="1.7109375" style="584" customWidth="1"/>
    <col min="11010" max="11015" width="0" style="584" hidden="1" customWidth="1"/>
    <col min="11016" max="11016" width="4" style="584" customWidth="1"/>
    <col min="11017" max="11018" width="9.140625" style="584"/>
    <col min="11019" max="11019" width="12.85546875" style="584" bestFit="1" customWidth="1"/>
    <col min="11020" max="11020" width="11.5703125" style="584" customWidth="1"/>
    <col min="11021" max="11023" width="14.7109375" style="584" customWidth="1"/>
    <col min="11024" max="11024" width="31" style="584" customWidth="1"/>
    <col min="11025" max="11025" width="10.28515625" style="584" bestFit="1" customWidth="1"/>
    <col min="11026" max="11264" width="9.140625" style="584"/>
    <col min="11265" max="11265" width="1.7109375" style="584" customWidth="1"/>
    <col min="11266" max="11271" width="0" style="584" hidden="1" customWidth="1"/>
    <col min="11272" max="11272" width="4" style="584" customWidth="1"/>
    <col min="11273" max="11274" width="9.140625" style="584"/>
    <col min="11275" max="11275" width="12.85546875" style="584" bestFit="1" customWidth="1"/>
    <col min="11276" max="11276" width="11.5703125" style="584" customWidth="1"/>
    <col min="11277" max="11279" width="14.7109375" style="584" customWidth="1"/>
    <col min="11280" max="11280" width="31" style="584" customWidth="1"/>
    <col min="11281" max="11281" width="10.28515625" style="584" bestFit="1" customWidth="1"/>
    <col min="11282" max="11520" width="9.140625" style="584"/>
    <col min="11521" max="11521" width="1.7109375" style="584" customWidth="1"/>
    <col min="11522" max="11527" width="0" style="584" hidden="1" customWidth="1"/>
    <col min="11528" max="11528" width="4" style="584" customWidth="1"/>
    <col min="11529" max="11530" width="9.140625" style="584"/>
    <col min="11531" max="11531" width="12.85546875" style="584" bestFit="1" customWidth="1"/>
    <col min="11532" max="11532" width="11.5703125" style="584" customWidth="1"/>
    <col min="11533" max="11535" width="14.7109375" style="584" customWidth="1"/>
    <col min="11536" max="11536" width="31" style="584" customWidth="1"/>
    <col min="11537" max="11537" width="10.28515625" style="584" bestFit="1" customWidth="1"/>
    <col min="11538" max="11776" width="9.140625" style="584"/>
    <col min="11777" max="11777" width="1.7109375" style="584" customWidth="1"/>
    <col min="11778" max="11783" width="0" style="584" hidden="1" customWidth="1"/>
    <col min="11784" max="11784" width="4" style="584" customWidth="1"/>
    <col min="11785" max="11786" width="9.140625" style="584"/>
    <col min="11787" max="11787" width="12.85546875" style="584" bestFit="1" customWidth="1"/>
    <col min="11788" max="11788" width="11.5703125" style="584" customWidth="1"/>
    <col min="11789" max="11791" width="14.7109375" style="584" customWidth="1"/>
    <col min="11792" max="11792" width="31" style="584" customWidth="1"/>
    <col min="11793" max="11793" width="10.28515625" style="584" bestFit="1" customWidth="1"/>
    <col min="11794" max="12032" width="9.140625" style="584"/>
    <col min="12033" max="12033" width="1.7109375" style="584" customWidth="1"/>
    <col min="12034" max="12039" width="0" style="584" hidden="1" customWidth="1"/>
    <col min="12040" max="12040" width="4" style="584" customWidth="1"/>
    <col min="12041" max="12042" width="9.140625" style="584"/>
    <col min="12043" max="12043" width="12.85546875" style="584" bestFit="1" customWidth="1"/>
    <col min="12044" max="12044" width="11.5703125" style="584" customWidth="1"/>
    <col min="12045" max="12047" width="14.7109375" style="584" customWidth="1"/>
    <col min="12048" max="12048" width="31" style="584" customWidth="1"/>
    <col min="12049" max="12049" width="10.28515625" style="584" bestFit="1" customWidth="1"/>
    <col min="12050" max="12288" width="9.140625" style="584"/>
    <col min="12289" max="12289" width="1.7109375" style="584" customWidth="1"/>
    <col min="12290" max="12295" width="0" style="584" hidden="1" customWidth="1"/>
    <col min="12296" max="12296" width="4" style="584" customWidth="1"/>
    <col min="12297" max="12298" width="9.140625" style="584"/>
    <col min="12299" max="12299" width="12.85546875" style="584" bestFit="1" customWidth="1"/>
    <col min="12300" max="12300" width="11.5703125" style="584" customWidth="1"/>
    <col min="12301" max="12303" width="14.7109375" style="584" customWidth="1"/>
    <col min="12304" max="12304" width="31" style="584" customWidth="1"/>
    <col min="12305" max="12305" width="10.28515625" style="584" bestFit="1" customWidth="1"/>
    <col min="12306" max="12544" width="9.140625" style="584"/>
    <col min="12545" max="12545" width="1.7109375" style="584" customWidth="1"/>
    <col min="12546" max="12551" width="0" style="584" hidden="1" customWidth="1"/>
    <col min="12552" max="12552" width="4" style="584" customWidth="1"/>
    <col min="12553" max="12554" width="9.140625" style="584"/>
    <col min="12555" max="12555" width="12.85546875" style="584" bestFit="1" customWidth="1"/>
    <col min="12556" max="12556" width="11.5703125" style="584" customWidth="1"/>
    <col min="12557" max="12559" width="14.7109375" style="584" customWidth="1"/>
    <col min="12560" max="12560" width="31" style="584" customWidth="1"/>
    <col min="12561" max="12561" width="10.28515625" style="584" bestFit="1" customWidth="1"/>
    <col min="12562" max="12800" width="9.140625" style="584"/>
    <col min="12801" max="12801" width="1.7109375" style="584" customWidth="1"/>
    <col min="12802" max="12807" width="0" style="584" hidden="1" customWidth="1"/>
    <col min="12808" max="12808" width="4" style="584" customWidth="1"/>
    <col min="12809" max="12810" width="9.140625" style="584"/>
    <col min="12811" max="12811" width="12.85546875" style="584" bestFit="1" customWidth="1"/>
    <col min="12812" max="12812" width="11.5703125" style="584" customWidth="1"/>
    <col min="12813" max="12815" width="14.7109375" style="584" customWidth="1"/>
    <col min="12816" max="12816" width="31" style="584" customWidth="1"/>
    <col min="12817" max="12817" width="10.28515625" style="584" bestFit="1" customWidth="1"/>
    <col min="12818" max="13056" width="9.140625" style="584"/>
    <col min="13057" max="13057" width="1.7109375" style="584" customWidth="1"/>
    <col min="13058" max="13063" width="0" style="584" hidden="1" customWidth="1"/>
    <col min="13064" max="13064" width="4" style="584" customWidth="1"/>
    <col min="13065" max="13066" width="9.140625" style="584"/>
    <col min="13067" max="13067" width="12.85546875" style="584" bestFit="1" customWidth="1"/>
    <col min="13068" max="13068" width="11.5703125" style="584" customWidth="1"/>
    <col min="13069" max="13071" width="14.7109375" style="584" customWidth="1"/>
    <col min="13072" max="13072" width="31" style="584" customWidth="1"/>
    <col min="13073" max="13073" width="10.28515625" style="584" bestFit="1" customWidth="1"/>
    <col min="13074" max="13312" width="9.140625" style="584"/>
    <col min="13313" max="13313" width="1.7109375" style="584" customWidth="1"/>
    <col min="13314" max="13319" width="0" style="584" hidden="1" customWidth="1"/>
    <col min="13320" max="13320" width="4" style="584" customWidth="1"/>
    <col min="13321" max="13322" width="9.140625" style="584"/>
    <col min="13323" max="13323" width="12.85546875" style="584" bestFit="1" customWidth="1"/>
    <col min="13324" max="13324" width="11.5703125" style="584" customWidth="1"/>
    <col min="13325" max="13327" width="14.7109375" style="584" customWidth="1"/>
    <col min="13328" max="13328" width="31" style="584" customWidth="1"/>
    <col min="13329" max="13329" width="10.28515625" style="584" bestFit="1" customWidth="1"/>
    <col min="13330" max="13568" width="9.140625" style="584"/>
    <col min="13569" max="13569" width="1.7109375" style="584" customWidth="1"/>
    <col min="13570" max="13575" width="0" style="584" hidden="1" customWidth="1"/>
    <col min="13576" max="13576" width="4" style="584" customWidth="1"/>
    <col min="13577" max="13578" width="9.140625" style="584"/>
    <col min="13579" max="13579" width="12.85546875" style="584" bestFit="1" customWidth="1"/>
    <col min="13580" max="13580" width="11.5703125" style="584" customWidth="1"/>
    <col min="13581" max="13583" width="14.7109375" style="584" customWidth="1"/>
    <col min="13584" max="13584" width="31" style="584" customWidth="1"/>
    <col min="13585" max="13585" width="10.28515625" style="584" bestFit="1" customWidth="1"/>
    <col min="13586" max="13824" width="9.140625" style="584"/>
    <col min="13825" max="13825" width="1.7109375" style="584" customWidth="1"/>
    <col min="13826" max="13831" width="0" style="584" hidden="1" customWidth="1"/>
    <col min="13832" max="13832" width="4" style="584" customWidth="1"/>
    <col min="13833" max="13834" width="9.140625" style="584"/>
    <col min="13835" max="13835" width="12.85546875" style="584" bestFit="1" customWidth="1"/>
    <col min="13836" max="13836" width="11.5703125" style="584" customWidth="1"/>
    <col min="13837" max="13839" width="14.7109375" style="584" customWidth="1"/>
    <col min="13840" max="13840" width="31" style="584" customWidth="1"/>
    <col min="13841" max="13841" width="10.28515625" style="584" bestFit="1" customWidth="1"/>
    <col min="13842" max="14080" width="9.140625" style="584"/>
    <col min="14081" max="14081" width="1.7109375" style="584" customWidth="1"/>
    <col min="14082" max="14087" width="0" style="584" hidden="1" customWidth="1"/>
    <col min="14088" max="14088" width="4" style="584" customWidth="1"/>
    <col min="14089" max="14090" width="9.140625" style="584"/>
    <col min="14091" max="14091" width="12.85546875" style="584" bestFit="1" customWidth="1"/>
    <col min="14092" max="14092" width="11.5703125" style="584" customWidth="1"/>
    <col min="14093" max="14095" width="14.7109375" style="584" customWidth="1"/>
    <col min="14096" max="14096" width="31" style="584" customWidth="1"/>
    <col min="14097" max="14097" width="10.28515625" style="584" bestFit="1" customWidth="1"/>
    <col min="14098" max="14336" width="9.140625" style="584"/>
    <col min="14337" max="14337" width="1.7109375" style="584" customWidth="1"/>
    <col min="14338" max="14343" width="0" style="584" hidden="1" customWidth="1"/>
    <col min="14344" max="14344" width="4" style="584" customWidth="1"/>
    <col min="14345" max="14346" width="9.140625" style="584"/>
    <col min="14347" max="14347" width="12.85546875" style="584" bestFit="1" customWidth="1"/>
    <col min="14348" max="14348" width="11.5703125" style="584" customWidth="1"/>
    <col min="14349" max="14351" width="14.7109375" style="584" customWidth="1"/>
    <col min="14352" max="14352" width="31" style="584" customWidth="1"/>
    <col min="14353" max="14353" width="10.28515625" style="584" bestFit="1" customWidth="1"/>
    <col min="14354" max="14592" width="9.140625" style="584"/>
    <col min="14593" max="14593" width="1.7109375" style="584" customWidth="1"/>
    <col min="14594" max="14599" width="0" style="584" hidden="1" customWidth="1"/>
    <col min="14600" max="14600" width="4" style="584" customWidth="1"/>
    <col min="14601" max="14602" width="9.140625" style="584"/>
    <col min="14603" max="14603" width="12.85546875" style="584" bestFit="1" customWidth="1"/>
    <col min="14604" max="14604" width="11.5703125" style="584" customWidth="1"/>
    <col min="14605" max="14607" width="14.7109375" style="584" customWidth="1"/>
    <col min="14608" max="14608" width="31" style="584" customWidth="1"/>
    <col min="14609" max="14609" width="10.28515625" style="584" bestFit="1" customWidth="1"/>
    <col min="14610" max="14848" width="9.140625" style="584"/>
    <col min="14849" max="14849" width="1.7109375" style="584" customWidth="1"/>
    <col min="14850" max="14855" width="0" style="584" hidden="1" customWidth="1"/>
    <col min="14856" max="14856" width="4" style="584" customWidth="1"/>
    <col min="14857" max="14858" width="9.140625" style="584"/>
    <col min="14859" max="14859" width="12.85546875" style="584" bestFit="1" customWidth="1"/>
    <col min="14860" max="14860" width="11.5703125" style="584" customWidth="1"/>
    <col min="14861" max="14863" width="14.7109375" style="584" customWidth="1"/>
    <col min="14864" max="14864" width="31" style="584" customWidth="1"/>
    <col min="14865" max="14865" width="10.28515625" style="584" bestFit="1" customWidth="1"/>
    <col min="14866" max="15104" width="9.140625" style="584"/>
    <col min="15105" max="15105" width="1.7109375" style="584" customWidth="1"/>
    <col min="15106" max="15111" width="0" style="584" hidden="1" customWidth="1"/>
    <col min="15112" max="15112" width="4" style="584" customWidth="1"/>
    <col min="15113" max="15114" width="9.140625" style="584"/>
    <col min="15115" max="15115" width="12.85546875" style="584" bestFit="1" customWidth="1"/>
    <col min="15116" max="15116" width="11.5703125" style="584" customWidth="1"/>
    <col min="15117" max="15119" width="14.7109375" style="584" customWidth="1"/>
    <col min="15120" max="15120" width="31" style="584" customWidth="1"/>
    <col min="15121" max="15121" width="10.28515625" style="584" bestFit="1" customWidth="1"/>
    <col min="15122" max="15360" width="9.140625" style="584"/>
    <col min="15361" max="15361" width="1.7109375" style="584" customWidth="1"/>
    <col min="15362" max="15367" width="0" style="584" hidden="1" customWidth="1"/>
    <col min="15368" max="15368" width="4" style="584" customWidth="1"/>
    <col min="15369" max="15370" width="9.140625" style="584"/>
    <col min="15371" max="15371" width="12.85546875" style="584" bestFit="1" customWidth="1"/>
    <col min="15372" max="15372" width="11.5703125" style="584" customWidth="1"/>
    <col min="15373" max="15375" width="14.7109375" style="584" customWidth="1"/>
    <col min="15376" max="15376" width="31" style="584" customWidth="1"/>
    <col min="15377" max="15377" width="10.28515625" style="584" bestFit="1" customWidth="1"/>
    <col min="15378" max="15616" width="9.140625" style="584"/>
    <col min="15617" max="15617" width="1.7109375" style="584" customWidth="1"/>
    <col min="15618" max="15623" width="0" style="584" hidden="1" customWidth="1"/>
    <col min="15624" max="15624" width="4" style="584" customWidth="1"/>
    <col min="15625" max="15626" width="9.140625" style="584"/>
    <col min="15627" max="15627" width="12.85546875" style="584" bestFit="1" customWidth="1"/>
    <col min="15628" max="15628" width="11.5703125" style="584" customWidth="1"/>
    <col min="15629" max="15631" width="14.7109375" style="584" customWidth="1"/>
    <col min="15632" max="15632" width="31" style="584" customWidth="1"/>
    <col min="15633" max="15633" width="10.28515625" style="584" bestFit="1" customWidth="1"/>
    <col min="15634" max="15872" width="9.140625" style="584"/>
    <col min="15873" max="15873" width="1.7109375" style="584" customWidth="1"/>
    <col min="15874" max="15879" width="0" style="584" hidden="1" customWidth="1"/>
    <col min="15880" max="15880" width="4" style="584" customWidth="1"/>
    <col min="15881" max="15882" width="9.140625" style="584"/>
    <col min="15883" max="15883" width="12.85546875" style="584" bestFit="1" customWidth="1"/>
    <col min="15884" max="15884" width="11.5703125" style="584" customWidth="1"/>
    <col min="15885" max="15887" width="14.7109375" style="584" customWidth="1"/>
    <col min="15888" max="15888" width="31" style="584" customWidth="1"/>
    <col min="15889" max="15889" width="10.28515625" style="584" bestFit="1" customWidth="1"/>
    <col min="15890" max="16128" width="9.140625" style="584"/>
    <col min="16129" max="16129" width="1.7109375" style="584" customWidth="1"/>
    <col min="16130" max="16135" width="0" style="584" hidden="1" customWidth="1"/>
    <col min="16136" max="16136" width="4" style="584" customWidth="1"/>
    <col min="16137" max="16138" width="9.140625" style="584"/>
    <col min="16139" max="16139" width="12.85546875" style="584" bestFit="1" customWidth="1"/>
    <col min="16140" max="16140" width="11.5703125" style="584" customWidth="1"/>
    <col min="16141" max="16143" width="14.7109375" style="584" customWidth="1"/>
    <col min="16144" max="16144" width="31" style="584" customWidth="1"/>
    <col min="16145" max="16145" width="10.28515625" style="584" bestFit="1" customWidth="1"/>
    <col min="16146" max="16384" width="9.140625" style="584"/>
  </cols>
  <sheetData>
    <row r="2" spans="2:16" x14ac:dyDescent="0.2">
      <c r="C2" s="585"/>
      <c r="D2" s="585"/>
      <c r="E2" s="585"/>
      <c r="F2" s="585"/>
      <c r="G2" s="585"/>
      <c r="H2" s="585"/>
      <c r="I2" s="585" t="s">
        <v>113</v>
      </c>
      <c r="J2" s="585"/>
      <c r="K2" s="585"/>
      <c r="L2" s="585"/>
      <c r="M2" s="585"/>
    </row>
    <row r="4" spans="2:16" x14ac:dyDescent="0.2">
      <c r="C4" s="585"/>
      <c r="D4" s="585"/>
      <c r="E4" s="585"/>
      <c r="F4" s="585"/>
      <c r="G4" s="585"/>
      <c r="H4" s="585"/>
      <c r="I4" s="585" t="s">
        <v>507</v>
      </c>
      <c r="J4" s="585"/>
      <c r="K4" s="585"/>
      <c r="L4" s="585"/>
      <c r="M4" s="585"/>
    </row>
    <row r="6" spans="2:16" x14ac:dyDescent="0.2">
      <c r="B6" s="689" t="s">
        <v>134</v>
      </c>
      <c r="C6" s="689"/>
      <c r="D6" s="689"/>
      <c r="E6" s="689"/>
      <c r="F6" s="689"/>
      <c r="G6" s="689"/>
      <c r="I6" s="587" t="s">
        <v>135</v>
      </c>
      <c r="J6" s="587"/>
      <c r="K6" s="587"/>
      <c r="L6" s="587"/>
      <c r="M6" s="586" t="s">
        <v>136</v>
      </c>
      <c r="N6" s="586" t="s">
        <v>137</v>
      </c>
      <c r="O6" s="586" t="s">
        <v>138</v>
      </c>
    </row>
    <row r="8" spans="2:16" x14ac:dyDescent="0.2">
      <c r="B8" s="585" t="s">
        <v>139</v>
      </c>
      <c r="C8" s="585"/>
      <c r="D8" s="585"/>
      <c r="E8" s="585"/>
      <c r="F8" s="588">
        <v>-26726</v>
      </c>
      <c r="G8" s="588">
        <v>-26726</v>
      </c>
      <c r="I8" s="585" t="s">
        <v>508</v>
      </c>
      <c r="J8" s="585"/>
      <c r="K8" s="585"/>
      <c r="L8" s="585"/>
      <c r="M8" s="588">
        <v>39399.619999999966</v>
      </c>
      <c r="N8" s="588">
        <v>1001517.456</v>
      </c>
      <c r="O8" s="589">
        <f>SUM(M8:N8)</f>
        <v>1040917.076</v>
      </c>
      <c r="P8" s="590"/>
    </row>
    <row r="9" spans="2:16" x14ac:dyDescent="0.2">
      <c r="F9" s="591"/>
      <c r="G9" s="591"/>
      <c r="M9" s="591"/>
      <c r="N9" s="591"/>
      <c r="O9" s="589"/>
    </row>
    <row r="10" spans="2:16" x14ac:dyDescent="0.2">
      <c r="B10" s="592" t="s">
        <v>140</v>
      </c>
      <c r="E10" s="593">
        <v>0.42</v>
      </c>
      <c r="F10" s="594">
        <v>6444</v>
      </c>
      <c r="G10" s="594">
        <v>6444</v>
      </c>
      <c r="I10" s="585" t="s">
        <v>509</v>
      </c>
      <c r="L10" s="595"/>
      <c r="M10" s="589">
        <f>-[7]Summary!D20</f>
        <v>197484</v>
      </c>
      <c r="N10" s="589">
        <f>-[7]Summary!D21</f>
        <v>329172</v>
      </c>
      <c r="O10" s="589">
        <f>SUM(M10:N10)</f>
        <v>526656</v>
      </c>
    </row>
    <row r="11" spans="2:16" x14ac:dyDescent="0.2">
      <c r="B11" s="592" t="s">
        <v>141</v>
      </c>
      <c r="E11" s="593">
        <v>0.42</v>
      </c>
      <c r="F11" s="594">
        <v>6444</v>
      </c>
      <c r="G11" s="594">
        <v>6444</v>
      </c>
      <c r="I11" s="592"/>
      <c r="L11" s="593"/>
      <c r="M11" s="594"/>
      <c r="N11" s="594"/>
      <c r="O11" s="589"/>
    </row>
    <row r="12" spans="2:16" x14ac:dyDescent="0.2">
      <c r="B12" s="592" t="s">
        <v>142</v>
      </c>
      <c r="E12" s="593">
        <v>0.42</v>
      </c>
      <c r="F12" s="594">
        <v>6444</v>
      </c>
      <c r="G12" s="594">
        <v>6444</v>
      </c>
      <c r="I12" s="585" t="s">
        <v>510</v>
      </c>
      <c r="L12" s="595"/>
      <c r="M12" s="588">
        <f>-[7]CapexB2024!D28</f>
        <v>-222300</v>
      </c>
      <c r="N12" s="588">
        <f>-[7]CapexB2024!D40</f>
        <v>-332500</v>
      </c>
      <c r="O12" s="589">
        <f>SUM(M12:N12)</f>
        <v>-554800</v>
      </c>
    </row>
    <row r="13" spans="2:16" ht="13.5" thickBot="1" x14ac:dyDescent="0.25">
      <c r="B13" s="592" t="s">
        <v>143</v>
      </c>
      <c r="E13" s="593">
        <v>0.42</v>
      </c>
      <c r="F13" s="594">
        <v>6444</v>
      </c>
      <c r="G13" s="594">
        <v>6444</v>
      </c>
      <c r="I13" s="592"/>
      <c r="L13" s="593"/>
      <c r="M13" s="594"/>
      <c r="N13" s="591"/>
      <c r="O13" s="591"/>
    </row>
    <row r="14" spans="2:16" ht="14.25" thickTop="1" thickBot="1" x14ac:dyDescent="0.25">
      <c r="B14" s="592" t="s">
        <v>144</v>
      </c>
      <c r="E14" s="593">
        <v>0.42</v>
      </c>
      <c r="F14" s="594">
        <v>6444</v>
      </c>
      <c r="G14" s="594">
        <v>6444</v>
      </c>
      <c r="I14" s="596" t="s">
        <v>511</v>
      </c>
      <c r="J14" s="596"/>
      <c r="K14" s="596"/>
      <c r="L14" s="596"/>
      <c r="M14" s="597">
        <f>SUM(M8:M12)</f>
        <v>14583.619999999966</v>
      </c>
      <c r="N14" s="597">
        <f>SUM(N8:N12)</f>
        <v>998189.45600000001</v>
      </c>
      <c r="O14" s="597">
        <f>SUM(M14:N14)</f>
        <v>1012773.076</v>
      </c>
      <c r="P14" s="598"/>
    </row>
    <row r="15" spans="2:16" ht="13.5" thickTop="1" x14ac:dyDescent="0.2">
      <c r="B15" s="592" t="s">
        <v>145</v>
      </c>
      <c r="E15" s="593">
        <v>0.42</v>
      </c>
      <c r="F15" s="594">
        <v>6444</v>
      </c>
      <c r="G15" s="594">
        <v>6444</v>
      </c>
      <c r="I15" s="592"/>
      <c r="L15" s="593"/>
      <c r="M15" s="594"/>
      <c r="N15" s="591"/>
      <c r="O15" s="591"/>
    </row>
    <row r="16" spans="2:16" x14ac:dyDescent="0.2">
      <c r="B16" s="592"/>
      <c r="E16" s="593"/>
      <c r="F16" s="594"/>
      <c r="G16" s="594"/>
      <c r="I16" s="592"/>
      <c r="L16" s="593"/>
      <c r="M16" s="594"/>
      <c r="N16" s="591"/>
      <c r="O16" s="591"/>
    </row>
    <row r="17" spans="2:15" x14ac:dyDescent="0.2">
      <c r="B17" s="592"/>
      <c r="E17" s="593"/>
      <c r="F17" s="594"/>
      <c r="G17" s="594"/>
      <c r="I17" s="592"/>
      <c r="L17" s="593"/>
      <c r="M17" s="594"/>
      <c r="N17" s="591"/>
      <c r="O17" s="591"/>
    </row>
    <row r="19" spans="2:15" ht="18" x14ac:dyDescent="0.25">
      <c r="O19" s="599"/>
    </row>
    <row r="23" spans="2:15" x14ac:dyDescent="0.2">
      <c r="M23" s="591"/>
      <c r="O23" s="591"/>
    </row>
    <row r="24" spans="2:15" x14ac:dyDescent="0.2">
      <c r="M24" s="591"/>
      <c r="N24" s="591"/>
      <c r="O24" s="591"/>
    </row>
    <row r="25" spans="2:15" x14ac:dyDescent="0.2">
      <c r="M25" s="591"/>
      <c r="N25" s="591"/>
      <c r="O25" s="591"/>
    </row>
    <row r="26" spans="2:15" x14ac:dyDescent="0.2">
      <c r="M26" s="591"/>
      <c r="N26" s="591"/>
      <c r="O26" s="591"/>
    </row>
    <row r="40" spans="15:16" ht="18" x14ac:dyDescent="0.25">
      <c r="O40" s="599"/>
      <c r="P40" s="600"/>
    </row>
  </sheetData>
  <mergeCells count="1">
    <mergeCell ref="B6:G6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32655-2C74-4AA0-8F73-7EE3B874BCC0}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3CC21-4B20-41DB-BE90-8C63D8C7C3DA}">
  <dimension ref="A1:W173"/>
  <sheetViews>
    <sheetView zoomScaleNormal="100" workbookViewId="0">
      <pane ySplit="3" topLeftCell="A39" activePane="bottomLeft" state="frozen"/>
      <selection pane="bottomLeft" activeCell="Q17" sqref="Q17"/>
    </sheetView>
  </sheetViews>
  <sheetFormatPr defaultRowHeight="15" x14ac:dyDescent="0.25"/>
  <cols>
    <col min="1" max="1" width="3.42578125" customWidth="1"/>
    <col min="2" max="2" width="28.140625" customWidth="1"/>
    <col min="3" max="3" width="3.7109375" customWidth="1"/>
    <col min="4" max="4" width="14.7109375" hidden="1" customWidth="1"/>
    <col min="5" max="8" width="14.7109375" customWidth="1"/>
    <col min="9" max="9" width="3.7109375" style="234" customWidth="1"/>
    <col min="10" max="10" width="11.140625" hidden="1" customWidth="1"/>
    <col min="11" max="11" width="0" style="359" hidden="1" customWidth="1"/>
    <col min="12" max="12" width="2.28515625" style="234" customWidth="1"/>
    <col min="13" max="13" width="16.5703125" customWidth="1"/>
    <col min="14" max="14" width="8.85546875" style="359"/>
    <col min="15" max="15" width="8.85546875" style="234"/>
    <col min="16" max="23" width="8.85546875" style="410"/>
  </cols>
  <sheetData>
    <row r="1" spans="1:14" x14ac:dyDescent="0.25">
      <c r="A1" s="1"/>
      <c r="B1" s="2" t="s">
        <v>423</v>
      </c>
      <c r="C1" s="3"/>
      <c r="D1" s="3"/>
      <c r="E1" s="3"/>
      <c r="F1" s="3"/>
      <c r="G1" s="3"/>
      <c r="H1" s="3"/>
      <c r="J1" s="234"/>
      <c r="K1" s="350"/>
      <c r="M1" s="234"/>
      <c r="N1" s="350"/>
    </row>
    <row r="2" spans="1:14" ht="15.75" thickBot="1" x14ac:dyDescent="0.3">
      <c r="A2" s="7"/>
      <c r="B2" s="7"/>
      <c r="C2" s="8"/>
      <c r="D2" s="8"/>
      <c r="E2" s="8"/>
      <c r="F2" s="8"/>
      <c r="G2" s="8"/>
      <c r="H2" s="8"/>
      <c r="J2" s="234"/>
      <c r="K2" s="350"/>
      <c r="M2" s="234"/>
      <c r="N2" s="350"/>
    </row>
    <row r="3" spans="1:14" ht="15.75" thickBot="1" x14ac:dyDescent="0.3">
      <c r="A3" s="7"/>
      <c r="B3" s="207" t="s">
        <v>0</v>
      </c>
      <c r="C3" s="8"/>
      <c r="D3" s="369" t="s">
        <v>149</v>
      </c>
      <c r="E3" s="191" t="s">
        <v>422</v>
      </c>
      <c r="F3" s="192" t="s">
        <v>281</v>
      </c>
      <c r="G3" s="416" t="s">
        <v>282</v>
      </c>
      <c r="H3" s="416" t="s">
        <v>153</v>
      </c>
      <c r="J3" s="235" t="s">
        <v>154</v>
      </c>
      <c r="K3" s="351" t="s">
        <v>151</v>
      </c>
      <c r="M3" s="235" t="s">
        <v>424</v>
      </c>
      <c r="N3" s="351" t="s">
        <v>151</v>
      </c>
    </row>
    <row r="4" spans="1:14" ht="15.75" thickBot="1" x14ac:dyDescent="0.3">
      <c r="A4" s="1"/>
      <c r="B4" s="1"/>
      <c r="C4" s="3"/>
      <c r="D4" s="5"/>
      <c r="E4" s="5"/>
      <c r="F4" s="5"/>
      <c r="G4" s="5"/>
      <c r="H4" s="5"/>
      <c r="J4" s="6"/>
      <c r="K4" s="352"/>
      <c r="M4" s="6"/>
      <c r="N4" s="352"/>
    </row>
    <row r="5" spans="1:14" x14ac:dyDescent="0.25">
      <c r="A5" s="1"/>
      <c r="B5" s="202" t="s">
        <v>15</v>
      </c>
      <c r="C5" s="3"/>
      <c r="D5" s="467">
        <f>+'NOT TO USE.'!D5</f>
        <v>3073618</v>
      </c>
      <c r="E5" s="309">
        <v>3364420</v>
      </c>
      <c r="F5" s="309">
        <v>3306912.4000000004</v>
      </c>
      <c r="G5" s="309">
        <v>3020537.4</v>
      </c>
      <c r="H5" s="309">
        <f>+'NOT TO USE.'!E5</f>
        <v>2730915.36</v>
      </c>
      <c r="J5" s="248">
        <f>D5-E5</f>
        <v>-290802</v>
      </c>
      <c r="K5" s="346">
        <f>+J5/E5</f>
        <v>-8.6434511743480297E-2</v>
      </c>
      <c r="M5" s="248">
        <f>E5-F5</f>
        <v>57507.599999999627</v>
      </c>
      <c r="N5" s="346">
        <f>+M5/F5</f>
        <v>1.7390118952047118E-2</v>
      </c>
    </row>
    <row r="6" spans="1:14" x14ac:dyDescent="0.25">
      <c r="A6" s="2"/>
      <c r="B6" s="203" t="s">
        <v>16</v>
      </c>
      <c r="C6" s="4"/>
      <c r="D6" s="468">
        <f>SUM(D5)</f>
        <v>3073618</v>
      </c>
      <c r="E6" s="310">
        <f>SUM(E5)</f>
        <v>3364420</v>
      </c>
      <c r="F6" s="310">
        <f>SUM(F5)</f>
        <v>3306912.4000000004</v>
      </c>
      <c r="G6" s="310">
        <v>3020537.4</v>
      </c>
      <c r="H6" s="310">
        <f>+H5</f>
        <v>2730915.36</v>
      </c>
      <c r="J6" s="237">
        <f>D6-E6</f>
        <v>-290802</v>
      </c>
      <c r="K6" s="347">
        <f>+J6/E6</f>
        <v>-8.6434511743480297E-2</v>
      </c>
      <c r="M6" s="237">
        <f>E6-F6</f>
        <v>57507.599999999627</v>
      </c>
      <c r="N6" s="347">
        <f>+M6/F6</f>
        <v>1.7390118952047118E-2</v>
      </c>
    </row>
    <row r="7" spans="1:14" x14ac:dyDescent="0.25">
      <c r="A7" s="1"/>
      <c r="B7" s="204"/>
      <c r="C7" s="3"/>
      <c r="D7" s="213"/>
      <c r="E7" s="311"/>
      <c r="F7" s="311"/>
      <c r="G7" s="311"/>
      <c r="H7" s="311"/>
      <c r="J7" s="238">
        <f>+J6/E6</f>
        <v>-8.6434511743480297E-2</v>
      </c>
      <c r="K7" s="348"/>
      <c r="M7" s="370">
        <f>+M6/F6</f>
        <v>1.7390118952047118E-2</v>
      </c>
      <c r="N7" s="348"/>
    </row>
    <row r="8" spans="1:14" x14ac:dyDescent="0.25">
      <c r="A8" s="1"/>
      <c r="B8" s="204" t="s">
        <v>17</v>
      </c>
      <c r="C8" s="3"/>
      <c r="D8" s="213">
        <f>+'NOT TO USE.'!D8</f>
        <v>1160225.9000000001</v>
      </c>
      <c r="E8" s="311">
        <v>1223614</v>
      </c>
      <c r="F8" s="311">
        <v>1266282.1060000001</v>
      </c>
      <c r="G8" s="311">
        <v>1175693.5</v>
      </c>
      <c r="H8" s="311">
        <f>+'NOT TO USE.'!E8</f>
        <v>1061411</v>
      </c>
      <c r="J8" s="237">
        <f t="shared" ref="J8:J13" si="0">D8-E8</f>
        <v>-63388.09999999986</v>
      </c>
      <c r="K8" s="347">
        <f t="shared" ref="K8:K13" si="1">+J8/E8</f>
        <v>-5.1804000281134299E-2</v>
      </c>
      <c r="M8" s="237">
        <f t="shared" ref="M8:M13" si="2">E8-F8</f>
        <v>-42668.106000000145</v>
      </c>
      <c r="N8" s="347">
        <f t="shared" ref="N8:N13" si="3">+M8/F8</f>
        <v>-3.369557683696759E-2</v>
      </c>
    </row>
    <row r="9" spans="1:14" x14ac:dyDescent="0.25">
      <c r="A9" s="1"/>
      <c r="B9" s="204" t="s">
        <v>18</v>
      </c>
      <c r="C9" s="3"/>
      <c r="D9" s="213">
        <f>+'NOT TO USE.'!D9</f>
        <v>1170801.28</v>
      </c>
      <c r="E9" s="311">
        <v>1142249</v>
      </c>
      <c r="F9" s="311">
        <v>1113271.9213557807</v>
      </c>
      <c r="G9" s="311">
        <v>1124972.5</v>
      </c>
      <c r="H9" s="311">
        <f>+'NOT TO USE.'!E9</f>
        <v>917709.14999999991</v>
      </c>
      <c r="J9" s="237">
        <f t="shared" si="0"/>
        <v>28552.280000000028</v>
      </c>
      <c r="K9" s="347">
        <f t="shared" si="1"/>
        <v>2.4996546287193097E-2</v>
      </c>
      <c r="M9" s="237">
        <f t="shared" si="2"/>
        <v>28977.07864421932</v>
      </c>
      <c r="N9" s="347">
        <f t="shared" si="3"/>
        <v>2.6028751905401548E-2</v>
      </c>
    </row>
    <row r="10" spans="1:14" x14ac:dyDescent="0.25">
      <c r="A10" s="1"/>
      <c r="B10" s="204" t="s">
        <v>19</v>
      </c>
      <c r="C10" s="3"/>
      <c r="D10" s="213">
        <f>+'NOT TO USE.'!D10</f>
        <v>431094.75</v>
      </c>
      <c r="E10" s="311">
        <v>505210</v>
      </c>
      <c r="F10" s="311">
        <v>467018.68509900005</v>
      </c>
      <c r="G10" s="311">
        <v>466558.88400000002</v>
      </c>
      <c r="H10" s="311">
        <f>+'NOT TO USE.'!E10</f>
        <v>364865.12866644404</v>
      </c>
      <c r="J10" s="237">
        <f t="shared" si="0"/>
        <v>-74115.25</v>
      </c>
      <c r="K10" s="347">
        <f t="shared" si="1"/>
        <v>-0.14670186655054335</v>
      </c>
      <c r="M10" s="237">
        <f t="shared" si="2"/>
        <v>38191.314900999947</v>
      </c>
      <c r="N10" s="347">
        <f t="shared" si="3"/>
        <v>8.1776845594312864E-2</v>
      </c>
    </row>
    <row r="11" spans="1:14" x14ac:dyDescent="0.25">
      <c r="A11" s="1"/>
      <c r="B11" s="204" t="s">
        <v>20</v>
      </c>
      <c r="C11" s="3"/>
      <c r="D11" s="213">
        <f>+'NOT TO USE.'!D11</f>
        <v>82400</v>
      </c>
      <c r="E11" s="311">
        <v>95524</v>
      </c>
      <c r="F11" s="311">
        <v>96630.255160000001</v>
      </c>
      <c r="G11" s="311">
        <v>89624.37000000001</v>
      </c>
      <c r="H11" s="311">
        <f>+'NOT TO USE.'!E11</f>
        <v>74251.5</v>
      </c>
      <c r="J11" s="237">
        <f t="shared" si="0"/>
        <v>-13124</v>
      </c>
      <c r="K11" s="347">
        <f t="shared" si="1"/>
        <v>-0.13738955655123319</v>
      </c>
      <c r="M11" s="237">
        <f t="shared" si="2"/>
        <v>-1106.2551600000006</v>
      </c>
      <c r="N11" s="347">
        <f t="shared" si="3"/>
        <v>-1.1448331148130238E-2</v>
      </c>
    </row>
    <row r="12" spans="1:14" ht="15.75" thickBot="1" x14ac:dyDescent="0.3">
      <c r="A12" s="1"/>
      <c r="B12" s="205" t="s">
        <v>21</v>
      </c>
      <c r="C12" s="3"/>
      <c r="D12" s="329">
        <f>+'NOT TO USE.'!D12</f>
        <v>266000</v>
      </c>
      <c r="E12" s="312">
        <v>389769</v>
      </c>
      <c r="F12" s="312">
        <v>358200</v>
      </c>
      <c r="G12" s="312">
        <v>337788.44</v>
      </c>
      <c r="H12" s="312">
        <f>+'NOT TO USE.'!E12</f>
        <v>283692</v>
      </c>
      <c r="J12" s="246">
        <f t="shared" si="0"/>
        <v>-123769</v>
      </c>
      <c r="K12" s="349">
        <f t="shared" si="1"/>
        <v>-0.31754449430303588</v>
      </c>
      <c r="M12" s="246">
        <f t="shared" si="2"/>
        <v>31569</v>
      </c>
      <c r="N12" s="349">
        <f t="shared" si="3"/>
        <v>8.8132328308207705E-2</v>
      </c>
    </row>
    <row r="13" spans="1:14" x14ac:dyDescent="0.25">
      <c r="A13" s="2"/>
      <c r="B13" s="203" t="s">
        <v>22</v>
      </c>
      <c r="C13" s="4"/>
      <c r="D13" s="469">
        <f>SUM(D8:D12)</f>
        <v>3110521.93</v>
      </c>
      <c r="E13" s="313">
        <f>SUM(E8:E12)</f>
        <v>3356366</v>
      </c>
      <c r="F13" s="313">
        <f>SUM(F8:F12)</f>
        <v>3301402.9676147811</v>
      </c>
      <c r="G13" s="313">
        <v>3194637.6940000001</v>
      </c>
      <c r="H13" s="313">
        <f>SUM(H8:H12)</f>
        <v>2701928.7786664441</v>
      </c>
      <c r="J13" s="239">
        <f t="shared" si="0"/>
        <v>-245844.06999999983</v>
      </c>
      <c r="K13" s="348">
        <f t="shared" si="1"/>
        <v>-7.3247098200851707E-2</v>
      </c>
      <c r="M13" s="239">
        <f t="shared" si="2"/>
        <v>54963.032385218889</v>
      </c>
      <c r="N13" s="348">
        <f t="shared" si="3"/>
        <v>1.6648386435821536E-2</v>
      </c>
    </row>
    <row r="14" spans="1:14" x14ac:dyDescent="0.25">
      <c r="A14" s="1"/>
      <c r="B14" s="204"/>
      <c r="C14" s="3"/>
      <c r="D14" s="213"/>
      <c r="E14" s="311"/>
      <c r="F14" s="311"/>
      <c r="G14" s="311"/>
      <c r="H14" s="311"/>
      <c r="J14" s="240">
        <f>+J13/E13</f>
        <v>-7.3247098200851707E-2</v>
      </c>
      <c r="K14" s="347"/>
      <c r="M14" s="371">
        <f>+M13/F13</f>
        <v>1.6648386435821536E-2</v>
      </c>
      <c r="N14" s="347"/>
    </row>
    <row r="15" spans="1:14" x14ac:dyDescent="0.25">
      <c r="A15" s="1"/>
      <c r="B15" s="204" t="s">
        <v>23</v>
      </c>
      <c r="C15" s="3"/>
      <c r="D15" s="213">
        <f>'NOT TO USE.'!D15</f>
        <v>-1140358</v>
      </c>
      <c r="E15" s="311">
        <f>-1138589</f>
        <v>-1138589</v>
      </c>
      <c r="F15" s="311">
        <v>-1140358</v>
      </c>
      <c r="G15" s="311">
        <v>-1140358</v>
      </c>
      <c r="H15" s="311">
        <f>'NOT TO USE.'!E15</f>
        <v>-956333</v>
      </c>
      <c r="J15" s="237">
        <f t="shared" ref="J15:J25" si="4">D15-E15</f>
        <v>-1769</v>
      </c>
      <c r="K15" s="347">
        <f>+J15/E15</f>
        <v>1.5536774024691965E-3</v>
      </c>
      <c r="M15" s="237">
        <f t="shared" ref="M15:M25" si="5">E15-F15</f>
        <v>1769</v>
      </c>
      <c r="N15" s="347">
        <f>+M15/F15</f>
        <v>-1.5512672336231255E-3</v>
      </c>
    </row>
    <row r="16" spans="1:14" x14ac:dyDescent="0.25">
      <c r="A16" s="1"/>
      <c r="B16" s="204" t="s">
        <v>24</v>
      </c>
      <c r="C16" s="3"/>
      <c r="D16" s="213">
        <f>'NOT TO USE.'!D16</f>
        <v>1140358</v>
      </c>
      <c r="E16" s="311">
        <v>1138589</v>
      </c>
      <c r="F16" s="311">
        <v>1140358</v>
      </c>
      <c r="G16" s="311">
        <v>1140358</v>
      </c>
      <c r="H16" s="311">
        <f>'NOT TO USE.'!E16</f>
        <v>956333</v>
      </c>
      <c r="J16" s="237">
        <f t="shared" si="4"/>
        <v>1769</v>
      </c>
      <c r="K16" s="347">
        <f>+J16/E16</f>
        <v>1.5536774024691965E-3</v>
      </c>
      <c r="M16" s="237">
        <f t="shared" si="5"/>
        <v>-1769</v>
      </c>
      <c r="N16" s="347">
        <f>+M16/F16</f>
        <v>-1.5512672336231255E-3</v>
      </c>
    </row>
    <row r="17" spans="1:14" ht="15.75" thickBot="1" x14ac:dyDescent="0.3">
      <c r="A17" s="1"/>
      <c r="B17" s="205" t="s">
        <v>25</v>
      </c>
      <c r="C17" s="3"/>
      <c r="D17" s="213"/>
      <c r="E17" s="311"/>
      <c r="F17" s="311"/>
      <c r="G17" s="311"/>
      <c r="H17" s="311"/>
      <c r="J17" s="246">
        <f t="shared" si="4"/>
        <v>0</v>
      </c>
      <c r="K17" s="349"/>
      <c r="M17" s="246">
        <f t="shared" si="5"/>
        <v>0</v>
      </c>
      <c r="N17" s="349"/>
    </row>
    <row r="18" spans="1:14" x14ac:dyDescent="0.25">
      <c r="A18" s="2"/>
      <c r="B18" s="203" t="s">
        <v>26</v>
      </c>
      <c r="C18" s="4"/>
      <c r="D18" s="469">
        <f>SUM(D15:D17)</f>
        <v>0</v>
      </c>
      <c r="E18" s="313">
        <f>SUM(E15:E17)</f>
        <v>0</v>
      </c>
      <c r="F18" s="313">
        <f>SUM(D15:D17)</f>
        <v>0</v>
      </c>
      <c r="G18" s="313">
        <v>0</v>
      </c>
      <c r="H18" s="313">
        <f>SUM(E15:E17)</f>
        <v>0</v>
      </c>
      <c r="J18" s="237">
        <f t="shared" si="4"/>
        <v>0</v>
      </c>
      <c r="K18" s="347"/>
      <c r="M18" s="237">
        <f t="shared" si="5"/>
        <v>0</v>
      </c>
      <c r="N18" s="347"/>
    </row>
    <row r="19" spans="1:14" x14ac:dyDescent="0.25">
      <c r="A19" s="1"/>
      <c r="B19" s="204"/>
      <c r="C19" s="3"/>
      <c r="D19" s="213"/>
      <c r="E19" s="311"/>
      <c r="F19" s="311"/>
      <c r="G19" s="311"/>
      <c r="H19" s="311"/>
      <c r="J19" s="237">
        <f t="shared" si="4"/>
        <v>0</v>
      </c>
      <c r="K19" s="347"/>
      <c r="M19" s="237">
        <f t="shared" si="5"/>
        <v>0</v>
      </c>
      <c r="N19" s="347"/>
    </row>
    <row r="20" spans="1:14" x14ac:dyDescent="0.25">
      <c r="A20" s="1"/>
      <c r="B20" s="204" t="s">
        <v>27</v>
      </c>
      <c r="C20" s="3"/>
      <c r="D20" s="470">
        <f>+'NOT TO USE.'!D20</f>
        <v>-193608</v>
      </c>
      <c r="E20" s="315">
        <f>-197478</f>
        <v>-197478</v>
      </c>
      <c r="F20" s="315">
        <v>-197480.15999999995</v>
      </c>
      <c r="G20" s="315">
        <v>-193608</v>
      </c>
      <c r="H20" s="315">
        <f>+'NOT TO USE.'!E20</f>
        <v>-145206</v>
      </c>
      <c r="J20" s="237">
        <f t="shared" si="4"/>
        <v>3870</v>
      </c>
      <c r="K20" s="347">
        <f>+J20/E20</f>
        <v>-1.9597119679154135E-2</v>
      </c>
      <c r="M20" s="237">
        <f t="shared" si="5"/>
        <v>2.1599999999452848</v>
      </c>
      <c r="N20" s="347">
        <f>+M20/F20</f>
        <v>-1.0937807625562414E-5</v>
      </c>
    </row>
    <row r="21" spans="1:14" x14ac:dyDescent="0.25">
      <c r="A21" s="1"/>
      <c r="B21" s="204" t="s">
        <v>28</v>
      </c>
      <c r="C21" s="3"/>
      <c r="D21" s="470">
        <f>+'NOT TO USE.'!D21</f>
        <v>-322680</v>
      </c>
      <c r="E21" s="315">
        <f>-329176</f>
        <v>-329176</v>
      </c>
      <c r="F21" s="315">
        <v>-329133.59999999992</v>
      </c>
      <c r="G21" s="315">
        <v>-322680</v>
      </c>
      <c r="H21" s="315">
        <f>+'NOT TO USE.'!E21</f>
        <v>-242010</v>
      </c>
      <c r="J21" s="237">
        <f t="shared" si="4"/>
        <v>6496</v>
      </c>
      <c r="K21" s="347">
        <f>+J21/E21</f>
        <v>-1.9734123994458893E-2</v>
      </c>
      <c r="M21" s="237">
        <f t="shared" si="5"/>
        <v>-42.400000000081491</v>
      </c>
      <c r="N21" s="347">
        <f>+M21/F21</f>
        <v>1.2882306759346812E-4</v>
      </c>
    </row>
    <row r="22" spans="1:14" ht="15.75" thickBot="1" x14ac:dyDescent="0.3">
      <c r="A22" s="1"/>
      <c r="B22" s="205" t="s">
        <v>29</v>
      </c>
      <c r="C22" s="3"/>
      <c r="D22" s="471">
        <f>+'NOT TO USE.'!D22</f>
        <v>516288</v>
      </c>
      <c r="E22" s="316">
        <f>526654</f>
        <v>526654</v>
      </c>
      <c r="F22" s="316">
        <v>526613.75999999989</v>
      </c>
      <c r="G22" s="316">
        <v>516288</v>
      </c>
      <c r="H22" s="316">
        <f>+'NOT TO USE.'!E22</f>
        <v>387216</v>
      </c>
      <c r="J22" s="246">
        <f t="shared" si="4"/>
        <v>-10366</v>
      </c>
      <c r="K22" s="349">
        <f>+J22/E22</f>
        <v>-1.9682751863652415E-2</v>
      </c>
      <c r="M22" s="246">
        <f t="shared" si="5"/>
        <v>40.240000000107102</v>
      </c>
      <c r="N22" s="349">
        <f>+M22/F22</f>
        <v>7.6412739386276407E-5</v>
      </c>
    </row>
    <row r="23" spans="1:14" x14ac:dyDescent="0.25">
      <c r="A23" s="2"/>
      <c r="B23" s="203" t="s">
        <v>30</v>
      </c>
      <c r="C23" s="4"/>
      <c r="D23" s="472">
        <f>SUM(D20:D22)</f>
        <v>0</v>
      </c>
      <c r="E23" s="196">
        <f>SUM(E20:E22)</f>
        <v>0</v>
      </c>
      <c r="F23" s="24">
        <f>SUM(D20:D22)</f>
        <v>0</v>
      </c>
      <c r="G23" s="494">
        <v>0</v>
      </c>
      <c r="H23" s="197">
        <f>SUM(E20:E22)</f>
        <v>0</v>
      </c>
      <c r="J23" s="237">
        <f t="shared" si="4"/>
        <v>0</v>
      </c>
      <c r="K23" s="347"/>
      <c r="M23" s="237">
        <f t="shared" si="5"/>
        <v>0</v>
      </c>
      <c r="N23" s="347"/>
    </row>
    <row r="24" spans="1:14" x14ac:dyDescent="0.25">
      <c r="A24" s="1"/>
      <c r="B24" s="204"/>
      <c r="C24" s="3"/>
      <c r="D24" s="198"/>
      <c r="E24" s="198"/>
      <c r="F24" s="39"/>
      <c r="G24" s="39"/>
      <c r="H24" s="199"/>
      <c r="J24" s="237">
        <f t="shared" si="4"/>
        <v>0</v>
      </c>
      <c r="K24" s="347"/>
      <c r="M24" s="237">
        <f t="shared" si="5"/>
        <v>0</v>
      </c>
      <c r="N24" s="347"/>
    </row>
    <row r="25" spans="1:14" ht="15.75" thickBot="1" x14ac:dyDescent="0.3">
      <c r="A25" s="1"/>
      <c r="B25" s="206" t="s">
        <v>31</v>
      </c>
      <c r="C25" s="4"/>
      <c r="D25" s="228">
        <f>D6-D13-D18-D23</f>
        <v>-36903.930000000168</v>
      </c>
      <c r="E25" s="200">
        <f>E6-E13-E18-E23</f>
        <v>8054</v>
      </c>
      <c r="F25" s="201">
        <f>F6-F13-F18-F23</f>
        <v>5509.4323852192611</v>
      </c>
      <c r="G25" s="495">
        <v>-174100.29400000023</v>
      </c>
      <c r="H25" s="473">
        <f>H6-H13-H18-H23</f>
        <v>28986.581333555747</v>
      </c>
      <c r="J25" s="241">
        <f t="shared" si="4"/>
        <v>-44957.930000000168</v>
      </c>
      <c r="K25" s="353">
        <f>+J25/E25</f>
        <v>-5.5820623292773988</v>
      </c>
      <c r="M25" s="241">
        <f t="shared" si="5"/>
        <v>2544.5676147807389</v>
      </c>
      <c r="N25" s="353"/>
    </row>
    <row r="26" spans="1:14" x14ac:dyDescent="0.25">
      <c r="A26" s="1"/>
      <c r="B26" s="2"/>
      <c r="C26" s="4"/>
      <c r="D26" s="47"/>
      <c r="E26" s="47"/>
      <c r="F26" s="47"/>
      <c r="G26" s="47"/>
      <c r="H26" s="47"/>
      <c r="J26" s="231"/>
      <c r="K26" s="231"/>
      <c r="M26" s="231"/>
      <c r="N26" s="231"/>
    </row>
    <row r="27" spans="1:14" ht="15.75" thickBot="1" x14ac:dyDescent="0.3">
      <c r="A27" s="1"/>
      <c r="B27" s="48"/>
      <c r="C27" s="49"/>
      <c r="D27" s="3"/>
      <c r="E27" s="3"/>
      <c r="F27" s="3"/>
      <c r="G27" s="3"/>
      <c r="H27" s="3"/>
      <c r="J27" s="3"/>
      <c r="K27" s="354"/>
      <c r="M27" s="3"/>
      <c r="N27" s="354"/>
    </row>
    <row r="28" spans="1:14" ht="15.75" thickBot="1" x14ac:dyDescent="0.3">
      <c r="A28" s="1"/>
      <c r="B28" s="208" t="s">
        <v>35</v>
      </c>
      <c r="C28" s="4"/>
      <c r="D28" s="62"/>
      <c r="E28" s="62"/>
      <c r="F28" s="62"/>
      <c r="G28" s="62"/>
      <c r="H28" s="62"/>
      <c r="J28" s="62"/>
      <c r="K28" s="355"/>
      <c r="M28" s="62"/>
      <c r="N28" s="355"/>
    </row>
    <row r="29" spans="1:14" ht="15.75" thickBot="1" x14ac:dyDescent="0.3">
      <c r="A29" s="1"/>
      <c r="B29" s="48"/>
      <c r="C29" s="49"/>
      <c r="D29" s="59"/>
      <c r="E29" s="59"/>
      <c r="F29" s="59"/>
      <c r="G29" s="59"/>
      <c r="H29" s="59"/>
      <c r="J29" s="59"/>
      <c r="K29" s="356"/>
      <c r="M29" s="59"/>
      <c r="N29" s="356"/>
    </row>
    <row r="30" spans="1:14" ht="15.75" thickBot="1" x14ac:dyDescent="0.3">
      <c r="A30" s="1"/>
      <c r="B30" s="209" t="s">
        <v>37</v>
      </c>
      <c r="C30" s="4"/>
      <c r="D30" s="191" t="str">
        <f>D3</f>
        <v>BUDGET 2022</v>
      </c>
      <c r="E30" s="191" t="str">
        <f t="shared" ref="E30:H30" si="6">E3</f>
        <v>ACTUAL 2023</v>
      </c>
      <c r="F30" s="191" t="str">
        <f t="shared" si="6"/>
        <v>BUDGET 2023</v>
      </c>
      <c r="G30" s="369" t="s">
        <v>282</v>
      </c>
      <c r="H30" s="416" t="str">
        <f t="shared" si="6"/>
        <v>ACTUAL 2021</v>
      </c>
      <c r="J30" s="235" t="str">
        <f>+J$3</f>
        <v>B 2022 vs Act 2021</v>
      </c>
      <c r="K30" s="372" t="str">
        <f>+K$3</f>
        <v>%</v>
      </c>
      <c r="M30" s="235" t="str">
        <f>+M$3</f>
        <v>Act 2023 vs Bud 2023</v>
      </c>
      <c r="N30" s="372" t="str">
        <f>+N$3</f>
        <v>%</v>
      </c>
    </row>
    <row r="31" spans="1:14" x14ac:dyDescent="0.25">
      <c r="A31" s="1"/>
      <c r="B31" s="204" t="s">
        <v>38</v>
      </c>
      <c r="C31" s="3"/>
      <c r="D31" s="213">
        <f>'NOT TO USE.'!D31</f>
        <v>2471484</v>
      </c>
      <c r="E31" s="311">
        <v>2724978</v>
      </c>
      <c r="F31" s="311">
        <v>2718632.4000000004</v>
      </c>
      <c r="G31" s="311">
        <v>2471484</v>
      </c>
      <c r="H31" s="311">
        <f>'NOT TO USE.'!E31</f>
        <v>2286117</v>
      </c>
      <c r="J31" s="360">
        <f t="shared" ref="J31:J41" si="7">D31-E31</f>
        <v>-253494</v>
      </c>
      <c r="K31" s="363">
        <f>+J31/E31</f>
        <v>-9.3026072137096155E-2</v>
      </c>
      <c r="M31" s="360">
        <f t="shared" ref="M31:M41" si="8">E31-F31</f>
        <v>6345.5999999996275</v>
      </c>
      <c r="N31" s="363">
        <f>+M31/F31</f>
        <v>2.3341147556394997E-3</v>
      </c>
    </row>
    <row r="32" spans="1:14" x14ac:dyDescent="0.25">
      <c r="A32" s="1"/>
      <c r="B32" s="204" t="s">
        <v>39</v>
      </c>
      <c r="C32" s="3"/>
      <c r="D32" s="213">
        <f>'NOT TO USE.'!D32</f>
        <v>70140</v>
      </c>
      <c r="E32" s="311">
        <v>77171</v>
      </c>
      <c r="F32" s="311">
        <v>77154.000000000015</v>
      </c>
      <c r="G32" s="311">
        <v>70140</v>
      </c>
      <c r="H32" s="311">
        <f>'NOT TO USE.'!E32</f>
        <v>70140</v>
      </c>
      <c r="J32" s="360">
        <f t="shared" si="7"/>
        <v>-7031</v>
      </c>
      <c r="K32" s="363">
        <f>+J32/E32</f>
        <v>-9.1109354550284433E-2</v>
      </c>
      <c r="M32" s="360">
        <f t="shared" si="8"/>
        <v>16.999999999985448</v>
      </c>
      <c r="N32" s="363">
        <f>+M32/F32</f>
        <v>2.2033854369164844E-4</v>
      </c>
    </row>
    <row r="33" spans="1:14" x14ac:dyDescent="0.25">
      <c r="A33" s="1"/>
      <c r="B33" s="204" t="s">
        <v>40</v>
      </c>
      <c r="C33" s="3"/>
      <c r="D33" s="213">
        <f>'NOT TO USE.'!D33</f>
        <v>0</v>
      </c>
      <c r="E33" s="311"/>
      <c r="F33" s="311">
        <f>'NOT TO USE.'!D33</f>
        <v>0</v>
      </c>
      <c r="G33" s="311">
        <v>0</v>
      </c>
      <c r="H33" s="311">
        <f>'NOT TO USE.'!E33</f>
        <v>0</v>
      </c>
      <c r="J33" s="360">
        <f t="shared" si="7"/>
        <v>0</v>
      </c>
      <c r="K33" s="363"/>
      <c r="M33" s="360">
        <f t="shared" si="8"/>
        <v>0</v>
      </c>
      <c r="N33" s="363"/>
    </row>
    <row r="34" spans="1:14" x14ac:dyDescent="0.25">
      <c r="A34" s="1"/>
      <c r="B34" s="204" t="s">
        <v>41</v>
      </c>
      <c r="C34" s="3"/>
      <c r="D34" s="213">
        <f>'NOT TO USE.'!D34</f>
        <v>438000</v>
      </c>
      <c r="E34" s="311">
        <v>445719</v>
      </c>
      <c r="F34" s="311">
        <v>405000</v>
      </c>
      <c r="G34" s="311">
        <v>368600</v>
      </c>
      <c r="H34" s="311">
        <f>'NOT TO USE.'!E34</f>
        <v>285641.89</v>
      </c>
      <c r="J34" s="360">
        <f t="shared" si="7"/>
        <v>-7719</v>
      </c>
      <c r="K34" s="363">
        <f>+J34/E34</f>
        <v>-1.7318086058705148E-2</v>
      </c>
      <c r="M34" s="360">
        <f t="shared" si="8"/>
        <v>40719</v>
      </c>
      <c r="N34" s="363">
        <f>+M34/F34</f>
        <v>0.10054074074074074</v>
      </c>
    </row>
    <row r="35" spans="1:14" x14ac:dyDescent="0.25">
      <c r="A35" s="1"/>
      <c r="B35" s="204" t="s">
        <v>42</v>
      </c>
      <c r="C35" s="3"/>
      <c r="D35" s="213">
        <f>'NOT TO USE.'!D35</f>
        <v>21840</v>
      </c>
      <c r="E35" s="311">
        <v>19288.41</v>
      </c>
      <c r="F35" s="311">
        <v>20000</v>
      </c>
      <c r="G35" s="311">
        <v>20497.260000000002</v>
      </c>
      <c r="H35" s="311">
        <f>'NOT TO USE.'!E35</f>
        <v>18627.13</v>
      </c>
      <c r="J35" s="360">
        <f t="shared" si="7"/>
        <v>2551.59</v>
      </c>
      <c r="K35" s="363">
        <f>+J35/E35</f>
        <v>0.13228617599895481</v>
      </c>
      <c r="M35" s="360">
        <f t="shared" si="8"/>
        <v>-711.59000000000015</v>
      </c>
      <c r="N35" s="363">
        <f>+M35/F35</f>
        <v>-3.5579500000000007E-2</v>
      </c>
    </row>
    <row r="36" spans="1:14" x14ac:dyDescent="0.25">
      <c r="A36" s="1"/>
      <c r="B36" s="204" t="s">
        <v>43</v>
      </c>
      <c r="C36" s="3"/>
      <c r="D36" s="213">
        <f>'NOT TO USE.'!D36</f>
        <v>55488</v>
      </c>
      <c r="E36" s="311">
        <v>64156.679999999993</v>
      </c>
      <c r="F36" s="311">
        <v>62800</v>
      </c>
      <c r="G36" s="311">
        <v>66349.929999999993</v>
      </c>
      <c r="H36" s="311">
        <f>'NOT TO USE.'!E36</f>
        <v>51901.59</v>
      </c>
      <c r="J36" s="360">
        <f t="shared" si="7"/>
        <v>-8668.679999999993</v>
      </c>
      <c r="K36" s="363">
        <f>+J36/E36</f>
        <v>-0.13511734085990726</v>
      </c>
      <c r="M36" s="360">
        <f t="shared" si="8"/>
        <v>1356.679999999993</v>
      </c>
      <c r="N36" s="363">
        <f>+M36/F36</f>
        <v>2.1603184713375686E-2</v>
      </c>
    </row>
    <row r="37" spans="1:14" x14ac:dyDescent="0.25">
      <c r="A37" s="1"/>
      <c r="B37" s="204" t="s">
        <v>44</v>
      </c>
      <c r="C37" s="3"/>
      <c r="D37" s="213">
        <f>'NOT TO USE.'!D37</f>
        <v>14400</v>
      </c>
      <c r="E37" s="311">
        <v>18001.250000000004</v>
      </c>
      <c r="F37" s="311">
        <v>21060</v>
      </c>
      <c r="G37" s="311">
        <v>21635</v>
      </c>
      <c r="H37" s="311">
        <f>'NOT TO USE.'!E37</f>
        <v>16546</v>
      </c>
      <c r="J37" s="360">
        <f t="shared" si="7"/>
        <v>-3601.2500000000036</v>
      </c>
      <c r="K37" s="363">
        <f>+J37/E37</f>
        <v>-0.20005555169779893</v>
      </c>
      <c r="M37" s="360">
        <f t="shared" si="8"/>
        <v>-3058.7499999999964</v>
      </c>
      <c r="N37" s="363">
        <f>+M37/F37</f>
        <v>-0.14523979107312424</v>
      </c>
    </row>
    <row r="38" spans="1:14" x14ac:dyDescent="0.25">
      <c r="A38" s="1"/>
      <c r="B38" s="204" t="s">
        <v>45</v>
      </c>
      <c r="C38" s="3"/>
      <c r="D38" s="213">
        <f>'NOT TO USE.'!D38</f>
        <v>2016</v>
      </c>
      <c r="E38" s="311">
        <v>378.96000000000049</v>
      </c>
      <c r="F38" s="311">
        <v>2016</v>
      </c>
      <c r="G38" s="311">
        <v>1625.0400000000002</v>
      </c>
      <c r="H38" s="311">
        <f>'NOT TO USE.'!E38</f>
        <v>1820.0400000000002</v>
      </c>
      <c r="J38" s="360">
        <f t="shared" si="7"/>
        <v>1637.0399999999995</v>
      </c>
      <c r="K38" s="363">
        <f>+J38/E38</f>
        <v>4.3198226725775735</v>
      </c>
      <c r="M38" s="360">
        <f t="shared" si="8"/>
        <v>-1637.0399999999995</v>
      </c>
      <c r="N38" s="363">
        <f>+M38/F38</f>
        <v>-0.81202380952380926</v>
      </c>
    </row>
    <row r="39" spans="1:14" x14ac:dyDescent="0.25">
      <c r="A39" s="1"/>
      <c r="B39" s="204" t="s">
        <v>46</v>
      </c>
      <c r="C39" s="3"/>
      <c r="D39" s="213">
        <f>'NOT TO USE.'!D39</f>
        <v>0</v>
      </c>
      <c r="E39" s="311">
        <v>8502.9600000000009</v>
      </c>
      <c r="F39" s="311">
        <v>0</v>
      </c>
      <c r="G39" s="311">
        <v>0</v>
      </c>
      <c r="H39" s="311">
        <f>'NOT TO USE.'!E39</f>
        <v>0</v>
      </c>
      <c r="J39" s="360">
        <f t="shared" si="7"/>
        <v>-8502.9600000000009</v>
      </c>
      <c r="K39" s="363"/>
      <c r="M39" s="360">
        <f t="shared" si="8"/>
        <v>8502.9600000000009</v>
      </c>
      <c r="N39" s="363"/>
    </row>
    <row r="40" spans="1:14" ht="15.75" thickBot="1" x14ac:dyDescent="0.3">
      <c r="A40" s="1"/>
      <c r="B40" s="205" t="s">
        <v>47</v>
      </c>
      <c r="C40" s="3"/>
      <c r="D40" s="329">
        <f>'NOT TO USE.'!D40</f>
        <v>250</v>
      </c>
      <c r="E40" s="312">
        <v>6223.91</v>
      </c>
      <c r="F40" s="312">
        <v>250</v>
      </c>
      <c r="G40" s="312">
        <v>205.97</v>
      </c>
      <c r="H40" s="312">
        <f>'NOT TO USE.'!E40</f>
        <v>121.71000000000001</v>
      </c>
      <c r="J40" s="361">
        <f t="shared" si="7"/>
        <v>-5973.91</v>
      </c>
      <c r="K40" s="364">
        <f>+J40/E40</f>
        <v>-0.95983232405352903</v>
      </c>
      <c r="M40" s="361">
        <f t="shared" si="8"/>
        <v>5973.91</v>
      </c>
      <c r="N40" s="364">
        <f>+M40/F40</f>
        <v>23.89564</v>
      </c>
    </row>
    <row r="41" spans="1:14" ht="15.75" thickBot="1" x14ac:dyDescent="0.3">
      <c r="A41" s="1"/>
      <c r="B41" s="210" t="s">
        <v>16</v>
      </c>
      <c r="C41" s="29"/>
      <c r="D41" s="223">
        <f>SUM(D31:D40)</f>
        <v>3073618</v>
      </c>
      <c r="E41" s="330">
        <f>SUM(E31:E40)</f>
        <v>3364420.1700000004</v>
      </c>
      <c r="F41" s="330">
        <f>SUM(F31:F40)</f>
        <v>3306912.4000000004</v>
      </c>
      <c r="G41" s="330">
        <v>3020537.2</v>
      </c>
      <c r="H41" s="330">
        <f>SUM(H31:H40)</f>
        <v>2730915.36</v>
      </c>
      <c r="J41" s="362">
        <f t="shared" si="7"/>
        <v>-290802.17000000039</v>
      </c>
      <c r="K41" s="365">
        <f>+J41/E41</f>
        <v>-8.6434557904817327E-2</v>
      </c>
      <c r="M41" s="362">
        <f t="shared" si="8"/>
        <v>57507.770000000019</v>
      </c>
      <c r="N41" s="365">
        <f>+M41/F41</f>
        <v>1.7390170359517239E-2</v>
      </c>
    </row>
    <row r="42" spans="1:14" ht="15.75" thickBot="1" x14ac:dyDescent="0.3">
      <c r="A42" s="1"/>
      <c r="B42" s="48"/>
      <c r="C42" s="49"/>
      <c r="D42" s="76"/>
      <c r="E42" s="232"/>
      <c r="F42" s="232"/>
      <c r="G42" s="232"/>
      <c r="H42" s="232"/>
      <c r="J42" s="76"/>
      <c r="K42" s="232"/>
      <c r="M42" s="76"/>
      <c r="N42" s="232"/>
    </row>
    <row r="43" spans="1:14" ht="15.75" thickBot="1" x14ac:dyDescent="0.3">
      <c r="A43" s="1"/>
      <c r="B43" s="208" t="s">
        <v>48</v>
      </c>
      <c r="C43" s="4"/>
      <c r="D43" s="9"/>
      <c r="E43" s="9"/>
      <c r="F43" s="9"/>
      <c r="G43" s="9"/>
      <c r="H43" s="9"/>
      <c r="J43" s="9"/>
      <c r="K43" s="357"/>
      <c r="M43" s="9"/>
      <c r="N43" s="357"/>
    </row>
    <row r="44" spans="1:14" x14ac:dyDescent="0.25">
      <c r="A44" s="1"/>
      <c r="B44" s="211" t="s">
        <v>49</v>
      </c>
      <c r="C44" s="3"/>
      <c r="D44" s="212">
        <f>+'NOT TO USE.'!D44</f>
        <v>216000</v>
      </c>
      <c r="E44" s="317">
        <v>247197.25</v>
      </c>
      <c r="F44" s="317">
        <v>226941.75</v>
      </c>
      <c r="G44" s="317">
        <v>217644.37</v>
      </c>
      <c r="H44" s="317">
        <f>+'NOT TO USE.'!E44</f>
        <v>204053</v>
      </c>
      <c r="J44" s="236">
        <f t="shared" ref="J44:J51" si="9">D44-E44</f>
        <v>-31197.25</v>
      </c>
      <c r="K44" s="366">
        <f>+J44/E44</f>
        <v>-0.1262038716045587</v>
      </c>
      <c r="M44" s="236">
        <f t="shared" ref="M44:M51" si="10">E44-F44</f>
        <v>20255.5</v>
      </c>
      <c r="N44" s="366">
        <f>+M44/F44</f>
        <v>8.9254180863591645E-2</v>
      </c>
    </row>
    <row r="45" spans="1:14" x14ac:dyDescent="0.25">
      <c r="A45" s="1"/>
      <c r="B45" s="204" t="s">
        <v>50</v>
      </c>
      <c r="C45" s="3"/>
      <c r="D45" s="213">
        <f>+'NOT TO USE.'!D45</f>
        <v>24000</v>
      </c>
      <c r="E45" s="311">
        <v>24442.959999999999</v>
      </c>
      <c r="F45" s="311">
        <v>27233.010000000009</v>
      </c>
      <c r="G45" s="311">
        <v>25592.959999999999</v>
      </c>
      <c r="H45" s="311">
        <f>+'NOT TO USE.'!E45</f>
        <v>18740</v>
      </c>
      <c r="J45" s="237">
        <f t="shared" si="9"/>
        <v>-442.95999999999913</v>
      </c>
      <c r="K45" s="347">
        <f>+J45/E45</f>
        <v>-1.8122191420351673E-2</v>
      </c>
      <c r="M45" s="237">
        <f t="shared" si="10"/>
        <v>-2790.0500000000102</v>
      </c>
      <c r="N45" s="347">
        <f>+M45/F45</f>
        <v>-0.10245103277236006</v>
      </c>
    </row>
    <row r="46" spans="1:14" x14ac:dyDescent="0.25">
      <c r="A46" s="1"/>
      <c r="B46" s="204" t="s">
        <v>51</v>
      </c>
      <c r="C46" s="3"/>
      <c r="D46" s="213">
        <f>+'NOT TO USE.'!D46</f>
        <v>18000</v>
      </c>
      <c r="E46" s="311">
        <v>21746.21</v>
      </c>
      <c r="F46" s="311">
        <v>21978.000000000004</v>
      </c>
      <c r="G46" s="311">
        <v>20319.72</v>
      </c>
      <c r="H46" s="311">
        <f>+'NOT TO USE.'!E46</f>
        <v>15613</v>
      </c>
      <c r="J46" s="237">
        <f t="shared" si="9"/>
        <v>-3746.2099999999991</v>
      </c>
      <c r="K46" s="347">
        <f>+J46/E46</f>
        <v>-0.17226955869551519</v>
      </c>
      <c r="M46" s="237">
        <f t="shared" si="10"/>
        <v>-231.79000000000451</v>
      </c>
      <c r="N46" s="347">
        <f>+M46/F46</f>
        <v>-1.054645554645575E-2</v>
      </c>
    </row>
    <row r="47" spans="1:14" x14ac:dyDescent="0.25">
      <c r="A47" s="1"/>
      <c r="B47" s="204" t="s">
        <v>52</v>
      </c>
      <c r="C47" s="3"/>
      <c r="D47" s="213">
        <f>+'NOT TO USE.'!D47</f>
        <v>0</v>
      </c>
      <c r="E47" s="311"/>
      <c r="F47" s="311">
        <f>+'NOT TO USE.'!D47</f>
        <v>0</v>
      </c>
      <c r="G47" s="311">
        <v>0</v>
      </c>
      <c r="H47" s="311">
        <f>+'NOT TO USE.'!E47</f>
        <v>0</v>
      </c>
      <c r="J47" s="237">
        <f t="shared" si="9"/>
        <v>0</v>
      </c>
      <c r="K47" s="347"/>
      <c r="M47" s="237">
        <f t="shared" si="10"/>
        <v>0</v>
      </c>
      <c r="N47" s="347"/>
    </row>
    <row r="48" spans="1:14" x14ac:dyDescent="0.25">
      <c r="A48" s="1"/>
      <c r="B48" s="204" t="s">
        <v>53</v>
      </c>
      <c r="C48" s="3"/>
      <c r="D48" s="213">
        <f>+'NOT TO USE.'!D48</f>
        <v>0</v>
      </c>
      <c r="E48" s="311"/>
      <c r="F48" s="311">
        <f>+'NOT TO USE.'!D48</f>
        <v>0</v>
      </c>
      <c r="G48" s="311">
        <v>0</v>
      </c>
      <c r="H48" s="311">
        <f>+'NOT TO USE.'!E48</f>
        <v>0</v>
      </c>
      <c r="J48" s="237">
        <f t="shared" si="9"/>
        <v>0</v>
      </c>
      <c r="K48" s="347"/>
      <c r="M48" s="237">
        <f t="shared" si="10"/>
        <v>0</v>
      </c>
      <c r="N48" s="347"/>
    </row>
    <row r="49" spans="1:14" x14ac:dyDescent="0.25">
      <c r="A49" s="1"/>
      <c r="B49" s="204" t="s">
        <v>54</v>
      </c>
      <c r="C49" s="3"/>
      <c r="D49" s="213">
        <f>+'NOT TO USE.'!D49</f>
        <v>28800</v>
      </c>
      <c r="E49" s="311">
        <v>30470.61</v>
      </c>
      <c r="F49" s="311">
        <v>25417.47600000001</v>
      </c>
      <c r="G49" s="311">
        <v>23029.069999999996</v>
      </c>
      <c r="H49" s="311">
        <f>+'NOT TO USE.'!E49</f>
        <v>23214</v>
      </c>
      <c r="J49" s="237">
        <f t="shared" si="9"/>
        <v>-1670.6100000000006</v>
      </c>
      <c r="K49" s="347">
        <f>+J49/E49</f>
        <v>-5.4826929949876306E-2</v>
      </c>
      <c r="M49" s="237">
        <f t="shared" si="10"/>
        <v>5053.1339999999909</v>
      </c>
      <c r="N49" s="347">
        <f>+M49/F49</f>
        <v>0.19880549901965044</v>
      </c>
    </row>
    <row r="50" spans="1:14" x14ac:dyDescent="0.25">
      <c r="A50" s="1"/>
      <c r="B50" s="205"/>
      <c r="C50" s="3"/>
      <c r="D50" s="214"/>
      <c r="E50" s="314"/>
      <c r="F50" s="314"/>
      <c r="G50" s="314"/>
      <c r="H50" s="314"/>
      <c r="J50" s="246">
        <f t="shared" si="9"/>
        <v>0</v>
      </c>
      <c r="K50" s="349"/>
      <c r="M50" s="246">
        <f t="shared" si="10"/>
        <v>0</v>
      </c>
      <c r="N50" s="349"/>
    </row>
    <row r="51" spans="1:14" ht="15.75" thickBot="1" x14ac:dyDescent="0.3">
      <c r="A51" s="1"/>
      <c r="B51" s="210" t="s">
        <v>55</v>
      </c>
      <c r="C51" s="4"/>
      <c r="D51" s="223">
        <f>SUM(D44:D49)</f>
        <v>286800</v>
      </c>
      <c r="E51" s="319">
        <f>SUM(E44:E49)</f>
        <v>323857.03000000003</v>
      </c>
      <c r="F51" s="319">
        <f>SUM(F44:F49)</f>
        <v>301570.23600000003</v>
      </c>
      <c r="G51" s="319">
        <v>286586.12</v>
      </c>
      <c r="H51" s="319">
        <f>SUM(H44:H49)</f>
        <v>261620</v>
      </c>
      <c r="J51" s="241">
        <f t="shared" si="9"/>
        <v>-37057.030000000028</v>
      </c>
      <c r="K51" s="353">
        <f>+J51/E51</f>
        <v>-0.11442404075650303</v>
      </c>
      <c r="M51" s="241">
        <f t="shared" si="10"/>
        <v>22286.793999999994</v>
      </c>
      <c r="N51" s="353">
        <f>+M51/F51</f>
        <v>7.3902498786385509E-2</v>
      </c>
    </row>
    <row r="52" spans="1:14" ht="15.75" thickBot="1" x14ac:dyDescent="0.3">
      <c r="A52" s="1"/>
      <c r="B52" s="48"/>
      <c r="C52" s="49"/>
      <c r="D52" s="76"/>
      <c r="E52" s="232"/>
      <c r="F52" s="344"/>
      <c r="G52" s="344"/>
      <c r="H52" s="232"/>
      <c r="J52" s="76"/>
      <c r="K52" s="232"/>
      <c r="M52" s="76"/>
      <c r="N52" s="232"/>
    </row>
    <row r="53" spans="1:14" ht="15.75" thickBot="1" x14ac:dyDescent="0.3">
      <c r="A53" s="1"/>
      <c r="B53" s="208" t="s">
        <v>56</v>
      </c>
      <c r="C53" s="4"/>
      <c r="D53" s="9"/>
      <c r="E53" s="9"/>
      <c r="F53" s="9"/>
      <c r="G53" s="9"/>
      <c r="H53" s="9"/>
      <c r="J53" s="9"/>
      <c r="K53" s="357"/>
      <c r="M53" s="9"/>
      <c r="N53" s="357"/>
    </row>
    <row r="54" spans="1:14" x14ac:dyDescent="0.25">
      <c r="A54" s="1"/>
      <c r="B54" s="211" t="s">
        <v>57</v>
      </c>
      <c r="C54" s="3"/>
      <c r="D54" s="212">
        <f>+'NOT TO USE.'!D54</f>
        <v>1860</v>
      </c>
      <c r="E54" s="317">
        <v>2180</v>
      </c>
      <c r="F54" s="317">
        <v>1860</v>
      </c>
      <c r="G54" s="317">
        <v>1964.2</v>
      </c>
      <c r="H54" s="317">
        <f>+'NOT TO USE.'!E54</f>
        <v>2040</v>
      </c>
      <c r="J54" s="236">
        <f t="shared" ref="J54:J65" si="11">D54-E54</f>
        <v>-320</v>
      </c>
      <c r="K54" s="366">
        <f>+J54/E54</f>
        <v>-0.14678899082568808</v>
      </c>
      <c r="M54" s="236">
        <f t="shared" ref="M54:M65" si="12">E54-F54</f>
        <v>320</v>
      </c>
      <c r="N54" s="366">
        <f>+M54/F54</f>
        <v>0.17204301075268819</v>
      </c>
    </row>
    <row r="55" spans="1:14" x14ac:dyDescent="0.25">
      <c r="A55" s="1"/>
      <c r="B55" s="204" t="s">
        <v>58</v>
      </c>
      <c r="C55" s="3"/>
      <c r="D55" s="213">
        <f>+'NOT TO USE.'!D55</f>
        <v>30000</v>
      </c>
      <c r="E55" s="311">
        <v>24668.339999999997</v>
      </c>
      <c r="F55" s="311">
        <v>30000</v>
      </c>
      <c r="G55" s="311">
        <v>24191.35</v>
      </c>
      <c r="H55" s="311">
        <f>+'NOT TO USE.'!E55</f>
        <v>20318</v>
      </c>
      <c r="J55" s="237">
        <f t="shared" si="11"/>
        <v>5331.6600000000035</v>
      </c>
      <c r="K55" s="347">
        <f>+J55/E55</f>
        <v>0.21613371633437856</v>
      </c>
      <c r="M55" s="237">
        <f t="shared" si="12"/>
        <v>-5331.6600000000035</v>
      </c>
      <c r="N55" s="347">
        <f>+M55/F55</f>
        <v>-0.17772200000000013</v>
      </c>
    </row>
    <row r="56" spans="1:14" x14ac:dyDescent="0.25">
      <c r="A56" s="1"/>
      <c r="B56" s="204" t="s">
        <v>59</v>
      </c>
      <c r="C56" s="3"/>
      <c r="D56" s="213">
        <f>+'NOT TO USE.'!D56</f>
        <v>42000</v>
      </c>
      <c r="E56" s="311">
        <v>53441.760000000002</v>
      </c>
      <c r="F56" s="311">
        <v>84600</v>
      </c>
      <c r="G56" s="311">
        <v>54466.030000000006</v>
      </c>
      <c r="H56" s="311">
        <f>+'NOT TO USE.'!E56</f>
        <v>25953</v>
      </c>
      <c r="J56" s="237">
        <f t="shared" si="11"/>
        <v>-11441.760000000002</v>
      </c>
      <c r="K56" s="347">
        <f>+J56/E56</f>
        <v>-0.21409773929601125</v>
      </c>
      <c r="M56" s="237">
        <f t="shared" si="12"/>
        <v>-31158.239999999998</v>
      </c>
      <c r="N56" s="347">
        <f>+M56/F56</f>
        <v>-0.36830070921985814</v>
      </c>
    </row>
    <row r="57" spans="1:14" x14ac:dyDescent="0.25">
      <c r="A57" s="1"/>
      <c r="B57" s="204" t="s">
        <v>60</v>
      </c>
      <c r="C57" s="3"/>
      <c r="D57" s="213">
        <f>+'NOT TO USE.'!D57</f>
        <v>0</v>
      </c>
      <c r="E57" s="311"/>
      <c r="F57" s="311">
        <f>+'NOT TO USE.'!D57</f>
        <v>0</v>
      </c>
      <c r="G57" s="311"/>
      <c r="H57" s="311">
        <f>+'NOT TO USE.'!E57</f>
        <v>0</v>
      </c>
      <c r="J57" s="237">
        <f t="shared" si="11"/>
        <v>0</v>
      </c>
      <c r="K57" s="347"/>
      <c r="M57" s="237">
        <f t="shared" si="12"/>
        <v>0</v>
      </c>
      <c r="N57" s="347"/>
    </row>
    <row r="58" spans="1:14" x14ac:dyDescent="0.25">
      <c r="A58" s="1"/>
      <c r="B58" s="204" t="s">
        <v>61</v>
      </c>
      <c r="C58" s="3"/>
      <c r="D58" s="320">
        <f>+'NOT TO USE.'!D58</f>
        <v>549.95999999999992</v>
      </c>
      <c r="E58" s="311">
        <v>841.43000000000006</v>
      </c>
      <c r="F58" s="321">
        <v>720</v>
      </c>
      <c r="G58" s="321">
        <v>688.66000000000008</v>
      </c>
      <c r="H58" s="321">
        <f>+'NOT TO USE.'!E58</f>
        <v>0</v>
      </c>
      <c r="J58" s="237">
        <f t="shared" si="11"/>
        <v>-291.47000000000014</v>
      </c>
      <c r="K58" s="347">
        <f>+J58/E58</f>
        <v>-0.34639839321155663</v>
      </c>
      <c r="M58" s="237">
        <f t="shared" si="12"/>
        <v>121.43000000000006</v>
      </c>
      <c r="N58" s="347">
        <f>+M58/F58</f>
        <v>0.16865277777777787</v>
      </c>
    </row>
    <row r="59" spans="1:14" x14ac:dyDescent="0.25">
      <c r="A59" s="1"/>
      <c r="B59" s="204" t="s">
        <v>62</v>
      </c>
      <c r="C59" s="3"/>
      <c r="D59" s="320">
        <f>+'NOT TO USE.'!D59</f>
        <v>21671.300000000003</v>
      </c>
      <c r="E59" s="321">
        <v>14504.32</v>
      </c>
      <c r="F59" s="321">
        <v>32800</v>
      </c>
      <c r="G59" s="321">
        <v>30254</v>
      </c>
      <c r="H59" s="321">
        <f>+'NOT TO USE.'!E59</f>
        <v>18673</v>
      </c>
      <c r="J59" s="237">
        <f t="shared" si="11"/>
        <v>7166.9800000000032</v>
      </c>
      <c r="K59" s="347">
        <f>+J59/E59</f>
        <v>0.49412726691082404</v>
      </c>
      <c r="M59" s="237">
        <f t="shared" si="12"/>
        <v>-18295.68</v>
      </c>
      <c r="N59" s="347">
        <f>+M59/F59</f>
        <v>-0.5577951219512195</v>
      </c>
    </row>
    <row r="60" spans="1:14" x14ac:dyDescent="0.25">
      <c r="A60" s="1"/>
      <c r="B60" s="204" t="s">
        <v>63</v>
      </c>
      <c r="C60" s="3"/>
      <c r="D60" s="320">
        <f>+'NOT TO USE.'!D60</f>
        <v>49440</v>
      </c>
      <c r="E60" s="321">
        <v>51912</v>
      </c>
      <c r="F60" s="321">
        <v>51912</v>
      </c>
      <c r="G60" s="321">
        <v>49632.54</v>
      </c>
      <c r="H60" s="321">
        <f>+'NOT TO USE.'!E60</f>
        <v>49466</v>
      </c>
      <c r="J60" s="237">
        <f t="shared" si="11"/>
        <v>-2472</v>
      </c>
      <c r="K60" s="347">
        <f>+J60/E60</f>
        <v>-4.7619047619047616E-2</v>
      </c>
      <c r="M60" s="237">
        <f t="shared" si="12"/>
        <v>0</v>
      </c>
      <c r="N60" s="347">
        <f>+M60/F60</f>
        <v>0</v>
      </c>
    </row>
    <row r="61" spans="1:14" x14ac:dyDescent="0.25">
      <c r="A61" s="1"/>
      <c r="B61" s="204" t="s">
        <v>25</v>
      </c>
      <c r="C61" s="3"/>
      <c r="D61" s="320">
        <f>+'NOT TO USE.'!D61</f>
        <v>698304.60000000009</v>
      </c>
      <c r="E61" s="321">
        <v>733224</v>
      </c>
      <c r="F61" s="321">
        <v>733219.83</v>
      </c>
      <c r="G61" s="321">
        <v>698304</v>
      </c>
      <c r="H61" s="321">
        <f>+'NOT TO USE.'!E61</f>
        <v>665051</v>
      </c>
      <c r="J61" s="237">
        <f t="shared" si="11"/>
        <v>-34919.399999999907</v>
      </c>
      <c r="K61" s="347">
        <f>+J61/E61</f>
        <v>-4.7624464010997875E-2</v>
      </c>
      <c r="M61" s="237">
        <f t="shared" si="12"/>
        <v>4.1700000000419095</v>
      </c>
      <c r="N61" s="347">
        <f>+M61/F61</f>
        <v>5.6872438925198054E-6</v>
      </c>
    </row>
    <row r="62" spans="1:14" x14ac:dyDescent="0.25">
      <c r="A62" s="1"/>
      <c r="B62" s="204" t="s">
        <v>64</v>
      </c>
      <c r="C62" s="3"/>
      <c r="D62" s="320">
        <f>+'NOT TO USE.'!D62</f>
        <v>24000</v>
      </c>
      <c r="E62" s="321">
        <v>13385.27</v>
      </c>
      <c r="F62" s="321">
        <v>24000</v>
      </c>
      <c r="G62" s="321">
        <v>24006.65</v>
      </c>
      <c r="H62" s="321">
        <f>+'NOT TO USE.'!E62</f>
        <v>18540</v>
      </c>
      <c r="J62" s="237">
        <f t="shared" si="11"/>
        <v>10614.73</v>
      </c>
      <c r="K62" s="347">
        <f>+J62/E62</f>
        <v>0.79301575537886049</v>
      </c>
      <c r="M62" s="237">
        <f t="shared" si="12"/>
        <v>-10614.73</v>
      </c>
      <c r="N62" s="347">
        <f>+M62/F62</f>
        <v>-0.44228041666666668</v>
      </c>
    </row>
    <row r="63" spans="1:14" x14ac:dyDescent="0.25">
      <c r="A63" s="1"/>
      <c r="B63" s="204" t="s">
        <v>65</v>
      </c>
      <c r="C63" s="3"/>
      <c r="D63" s="320">
        <f>+'NOT TO USE.'!D63</f>
        <v>0</v>
      </c>
      <c r="E63" s="321"/>
      <c r="F63" s="321">
        <v>0</v>
      </c>
      <c r="G63" s="321"/>
      <c r="H63" s="321">
        <f>+'NOT TO USE.'!E63</f>
        <v>0</v>
      </c>
      <c r="J63" s="237">
        <f t="shared" si="11"/>
        <v>0</v>
      </c>
      <c r="K63" s="347"/>
      <c r="M63" s="237">
        <f t="shared" si="12"/>
        <v>0</v>
      </c>
      <c r="N63" s="347"/>
    </row>
    <row r="64" spans="1:14" x14ac:dyDescent="0.25">
      <c r="A64" s="1"/>
      <c r="B64" s="205" t="s">
        <v>66</v>
      </c>
      <c r="C64" s="3"/>
      <c r="D64" s="214">
        <f>+'NOT TO USE.'!D64</f>
        <v>5600.04</v>
      </c>
      <c r="E64" s="314">
        <v>5600.04</v>
      </c>
      <c r="F64" s="314">
        <v>5600.04</v>
      </c>
      <c r="G64" s="314">
        <v>5600.04</v>
      </c>
      <c r="H64" s="314">
        <f>+'NOT TO USE.'!E64</f>
        <v>-250</v>
      </c>
      <c r="J64" s="246">
        <f t="shared" si="11"/>
        <v>0</v>
      </c>
      <c r="K64" s="349">
        <f>+J64/E64</f>
        <v>0</v>
      </c>
      <c r="M64" s="246">
        <f t="shared" si="12"/>
        <v>0</v>
      </c>
      <c r="N64" s="349">
        <f>+M64/F64</f>
        <v>0</v>
      </c>
    </row>
    <row r="65" spans="1:14" ht="15.75" thickBot="1" x14ac:dyDescent="0.3">
      <c r="A65" s="1"/>
      <c r="B65" s="210" t="s">
        <v>67</v>
      </c>
      <c r="C65" s="4"/>
      <c r="D65" s="223">
        <f>SUM(D54:D64)</f>
        <v>873425.90000000014</v>
      </c>
      <c r="E65" s="319">
        <f>SUM(E54:E64)</f>
        <v>899757.16</v>
      </c>
      <c r="F65" s="319">
        <f>SUM(F54:F64)</f>
        <v>964711.87</v>
      </c>
      <c r="G65" s="319">
        <v>889107.47000000009</v>
      </c>
      <c r="H65" s="319">
        <f>SUM(H54:H64)</f>
        <v>799791</v>
      </c>
      <c r="J65" s="242">
        <f t="shared" si="11"/>
        <v>-26331.259999999893</v>
      </c>
      <c r="K65" s="353">
        <f>+J65/E65</f>
        <v>-2.9264851862918093E-2</v>
      </c>
      <c r="M65" s="242">
        <f t="shared" si="12"/>
        <v>-64954.709999999963</v>
      </c>
      <c r="N65" s="353">
        <f>+M65/F65</f>
        <v>-6.7330683927419657E-2</v>
      </c>
    </row>
    <row r="66" spans="1:14" ht="15.75" thickBot="1" x14ac:dyDescent="0.3">
      <c r="A66" s="1"/>
      <c r="B66" s="48"/>
      <c r="C66" s="49"/>
      <c r="D66" s="57"/>
      <c r="E66" s="232"/>
      <c r="F66" s="344"/>
      <c r="G66" s="344"/>
      <c r="H66" s="232"/>
      <c r="J66" s="57"/>
      <c r="K66" s="232"/>
      <c r="M66" s="57"/>
      <c r="N66" s="232"/>
    </row>
    <row r="67" spans="1:14" ht="15.75" thickBot="1" x14ac:dyDescent="0.3">
      <c r="A67" s="1"/>
      <c r="B67" s="208" t="s">
        <v>68</v>
      </c>
      <c r="C67" s="4"/>
      <c r="D67" s="120"/>
      <c r="E67" s="120"/>
      <c r="F67" s="120"/>
      <c r="G67" s="120"/>
      <c r="H67" s="120"/>
      <c r="J67" s="120"/>
      <c r="K67" s="357"/>
      <c r="M67" s="120"/>
      <c r="N67" s="357"/>
    </row>
    <row r="68" spans="1:14" ht="15.75" thickBot="1" x14ac:dyDescent="0.3">
      <c r="A68" s="1"/>
      <c r="B68" s="220" t="s">
        <v>69</v>
      </c>
      <c r="C68" s="29"/>
      <c r="D68" s="475">
        <f>D41-D51-D65</f>
        <v>1913392.0999999999</v>
      </c>
      <c r="E68" s="217">
        <f>E41-E51-E65</f>
        <v>2140805.9800000004</v>
      </c>
      <c r="F68" s="218">
        <f>F41-F51-F65</f>
        <v>2040630.2940000002</v>
      </c>
      <c r="G68" s="496">
        <v>1844843.6099999999</v>
      </c>
      <c r="H68" s="219">
        <f>H41-H51-H65</f>
        <v>1669504.3599999999</v>
      </c>
      <c r="J68" s="243">
        <f>D68-E68</f>
        <v>-227413.88000000059</v>
      </c>
      <c r="K68" s="368">
        <f>+J68/E68</f>
        <v>-0.10622815991947133</v>
      </c>
      <c r="M68" s="243">
        <f>E68-F68</f>
        <v>100175.68600000022</v>
      </c>
      <c r="N68" s="368">
        <f>+M68/F68</f>
        <v>4.9090561036236491E-2</v>
      </c>
    </row>
    <row r="69" spans="1:14" x14ac:dyDescent="0.25">
      <c r="A69" s="1"/>
      <c r="B69" s="2"/>
      <c r="C69" s="4"/>
      <c r="D69" s="100"/>
      <c r="E69" s="233"/>
      <c r="F69" s="233"/>
      <c r="G69" s="233"/>
      <c r="H69" s="233"/>
      <c r="J69" s="100"/>
      <c r="K69" s="233"/>
      <c r="M69" s="100"/>
      <c r="N69" s="233"/>
    </row>
    <row r="70" spans="1:14" ht="15.75" thickBot="1" x14ac:dyDescent="0.3">
      <c r="A70" s="1"/>
      <c r="B70" s="48"/>
      <c r="C70" s="49"/>
      <c r="D70" s="76"/>
      <c r="E70" s="76"/>
      <c r="F70" s="76"/>
      <c r="G70" s="76"/>
      <c r="H70" s="76"/>
      <c r="J70" s="76"/>
      <c r="K70" s="232"/>
      <c r="M70" s="76"/>
      <c r="N70" s="232"/>
    </row>
    <row r="71" spans="1:14" ht="15.75" thickBot="1" x14ac:dyDescent="0.3">
      <c r="A71" s="1"/>
      <c r="B71" s="208" t="s">
        <v>70</v>
      </c>
      <c r="C71" s="4"/>
      <c r="D71" s="101"/>
      <c r="E71" s="101"/>
      <c r="F71" s="101"/>
      <c r="G71" s="101"/>
      <c r="H71" s="101"/>
      <c r="J71" s="101"/>
      <c r="K71" s="358"/>
      <c r="M71" s="101"/>
      <c r="N71" s="358"/>
    </row>
    <row r="72" spans="1:14" ht="15.75" thickBot="1" x14ac:dyDescent="0.3">
      <c r="A72" s="1"/>
      <c r="B72" s="48"/>
      <c r="C72" s="49"/>
      <c r="D72" s="103"/>
      <c r="E72" s="103"/>
      <c r="F72" s="103"/>
      <c r="G72" s="103"/>
      <c r="H72" s="103"/>
      <c r="J72" s="103"/>
      <c r="K72" s="356"/>
      <c r="M72" s="103"/>
      <c r="N72" s="356"/>
    </row>
    <row r="73" spans="1:14" ht="15.75" thickBot="1" x14ac:dyDescent="0.3">
      <c r="A73" s="1"/>
      <c r="B73" s="208" t="s">
        <v>48</v>
      </c>
      <c r="C73" s="4"/>
      <c r="D73" s="369" t="str">
        <f>D3</f>
        <v>BUDGET 2022</v>
      </c>
      <c r="E73" s="224" t="str">
        <f t="shared" ref="E73:H73" si="13">E3</f>
        <v>ACTUAL 2023</v>
      </c>
      <c r="F73" s="224" t="str">
        <f t="shared" si="13"/>
        <v>BUDGET 2023</v>
      </c>
      <c r="G73" s="369" t="s">
        <v>282</v>
      </c>
      <c r="H73" s="416" t="str">
        <f t="shared" si="13"/>
        <v>ACTUAL 2021</v>
      </c>
      <c r="J73" s="235" t="str">
        <f>+J$3</f>
        <v>B 2022 vs Act 2021</v>
      </c>
      <c r="K73" s="372" t="str">
        <f>+K$3</f>
        <v>%</v>
      </c>
      <c r="M73" s="235" t="str">
        <f>+M$3</f>
        <v>Act 2023 vs Bud 2023</v>
      </c>
      <c r="N73" s="372" t="str">
        <f>+N$3</f>
        <v>%</v>
      </c>
    </row>
    <row r="74" spans="1:14" x14ac:dyDescent="0.25">
      <c r="A74" s="1"/>
      <c r="B74" s="204" t="s">
        <v>18</v>
      </c>
      <c r="C74" s="3"/>
      <c r="D74" s="213">
        <f>+'NOT TO USE.'!D74</f>
        <v>211200</v>
      </c>
      <c r="E74" s="420">
        <v>228762.14</v>
      </c>
      <c r="F74" s="31">
        <v>224220.48</v>
      </c>
      <c r="G74" s="26">
        <v>221820.35000000003</v>
      </c>
      <c r="H74" s="194">
        <f>+'NOT TO USE.'!E74</f>
        <v>182144.05000000002</v>
      </c>
      <c r="J74" s="237">
        <f t="shared" ref="J74:J83" si="14">D74-E74</f>
        <v>-17562.140000000014</v>
      </c>
      <c r="K74" s="347">
        <f t="shared" ref="K74:K81" si="15">+J74/E74</f>
        <v>-7.6770308233696419E-2</v>
      </c>
      <c r="M74" s="237">
        <f t="shared" ref="M74:M83" si="16">E74-F74</f>
        <v>4541.6600000000035</v>
      </c>
      <c r="N74" s="347">
        <f t="shared" ref="N74:N81" si="17">+M74/F74</f>
        <v>2.025533082437431E-2</v>
      </c>
    </row>
    <row r="75" spans="1:14" x14ac:dyDescent="0.25">
      <c r="A75" s="1"/>
      <c r="B75" s="204" t="s">
        <v>71</v>
      </c>
      <c r="C75" s="3"/>
      <c r="D75" s="213">
        <f>+'NOT TO USE.'!D75</f>
        <v>165300</v>
      </c>
      <c r="E75" s="420">
        <v>195186.75999999998</v>
      </c>
      <c r="F75" s="31">
        <v>207709.87356000004</v>
      </c>
      <c r="G75" s="26">
        <v>196184.29000000004</v>
      </c>
      <c r="H75" s="194">
        <f>+'NOT TO USE.'!E75</f>
        <v>148912.44999999998</v>
      </c>
      <c r="J75" s="237">
        <f t="shared" si="14"/>
        <v>-29886.75999999998</v>
      </c>
      <c r="K75" s="347">
        <f t="shared" si="15"/>
        <v>-0.1531187873603721</v>
      </c>
      <c r="M75" s="237">
        <f t="shared" si="16"/>
        <v>-12523.113560000056</v>
      </c>
      <c r="N75" s="347">
        <f t="shared" si="17"/>
        <v>-6.0291373468977498E-2</v>
      </c>
    </row>
    <row r="76" spans="1:14" x14ac:dyDescent="0.25">
      <c r="A76" s="1"/>
      <c r="B76" s="204" t="s">
        <v>72</v>
      </c>
      <c r="C76" s="3"/>
      <c r="D76" s="213">
        <f>+'NOT TO USE.'!D76</f>
        <v>10014</v>
      </c>
      <c r="E76" s="420">
        <v>10020</v>
      </c>
      <c r="F76" s="31">
        <v>10014</v>
      </c>
      <c r="G76" s="26">
        <v>10008</v>
      </c>
      <c r="H76" s="194">
        <f>+'NOT TO USE.'!E76</f>
        <v>10008</v>
      </c>
      <c r="J76" s="237">
        <f t="shared" si="14"/>
        <v>-6</v>
      </c>
      <c r="K76" s="347">
        <f t="shared" si="15"/>
        <v>-5.9880239520958083E-4</v>
      </c>
      <c r="M76" s="237">
        <f t="shared" si="16"/>
        <v>6</v>
      </c>
      <c r="N76" s="347">
        <f t="shared" si="17"/>
        <v>5.9916117435590175E-4</v>
      </c>
    </row>
    <row r="77" spans="1:14" x14ac:dyDescent="0.25">
      <c r="A77" s="1"/>
      <c r="B77" s="204" t="s">
        <v>50</v>
      </c>
      <c r="C77" s="3"/>
      <c r="D77" s="213">
        <f>+'NOT TO USE.'!D77</f>
        <v>36000</v>
      </c>
      <c r="E77" s="420">
        <v>41092.570000000007</v>
      </c>
      <c r="F77" s="31">
        <v>30667.055102759998</v>
      </c>
      <c r="G77" s="26">
        <v>30750.809999999994</v>
      </c>
      <c r="H77" s="194">
        <f>+'NOT TO USE.'!E77</f>
        <v>33366.69</v>
      </c>
      <c r="J77" s="237">
        <f t="shared" si="14"/>
        <v>-5092.570000000007</v>
      </c>
      <c r="K77" s="347">
        <f t="shared" si="15"/>
        <v>-0.12392921640092129</v>
      </c>
      <c r="M77" s="237">
        <f t="shared" si="16"/>
        <v>10425.514897240009</v>
      </c>
      <c r="N77" s="347">
        <f t="shared" si="17"/>
        <v>0.33995813625748911</v>
      </c>
    </row>
    <row r="78" spans="1:14" x14ac:dyDescent="0.25">
      <c r="A78" s="1"/>
      <c r="B78" s="204" t="s">
        <v>73</v>
      </c>
      <c r="C78" s="3"/>
      <c r="D78" s="213">
        <f>+'NOT TO USE.'!D78</f>
        <v>25200</v>
      </c>
      <c r="E78" s="420">
        <v>28576.18</v>
      </c>
      <c r="F78" s="31">
        <v>29770</v>
      </c>
      <c r="G78" s="26">
        <v>26958.85</v>
      </c>
      <c r="H78" s="194">
        <f>+'NOT TO USE.'!E78</f>
        <v>23457.16</v>
      </c>
      <c r="J78" s="237">
        <f t="shared" si="14"/>
        <v>-3376.1800000000003</v>
      </c>
      <c r="K78" s="347">
        <f t="shared" si="15"/>
        <v>-0.1181466522117372</v>
      </c>
      <c r="M78" s="237">
        <f t="shared" si="16"/>
        <v>-1193.8199999999997</v>
      </c>
      <c r="N78" s="347">
        <f t="shared" si="17"/>
        <v>-4.0101444407121253E-2</v>
      </c>
    </row>
    <row r="79" spans="1:14" x14ac:dyDescent="0.25">
      <c r="A79" s="1"/>
      <c r="B79" s="204" t="s">
        <v>52</v>
      </c>
      <c r="C79" s="3"/>
      <c r="D79" s="213">
        <f>+'NOT TO USE.'!D79</f>
        <v>10240</v>
      </c>
      <c r="E79" s="420">
        <v>10783.21</v>
      </c>
      <c r="F79" s="31">
        <v>10391.600000000002</v>
      </c>
      <c r="G79" s="26">
        <v>6468</v>
      </c>
      <c r="H79" s="194">
        <f>+'NOT TO USE.'!E79</f>
        <v>8392.91</v>
      </c>
      <c r="J79" s="237">
        <f t="shared" si="14"/>
        <v>-543.20999999999913</v>
      </c>
      <c r="K79" s="347">
        <f t="shared" si="15"/>
        <v>-5.0375537525467758E-2</v>
      </c>
      <c r="M79" s="237">
        <f t="shared" si="16"/>
        <v>391.60999999999694</v>
      </c>
      <c r="N79" s="347">
        <f t="shared" si="17"/>
        <v>3.7685245775433703E-2</v>
      </c>
    </row>
    <row r="80" spans="1:14" x14ac:dyDescent="0.25">
      <c r="A80" s="1"/>
      <c r="B80" s="204" t="s">
        <v>53</v>
      </c>
      <c r="C80" s="3"/>
      <c r="D80" s="213">
        <f>+'NOT TO USE.'!D80</f>
        <v>60000</v>
      </c>
      <c r="E80" s="420">
        <v>46156.930000000008</v>
      </c>
      <c r="F80" s="31">
        <v>66000</v>
      </c>
      <c r="G80" s="26">
        <v>50420.05</v>
      </c>
      <c r="H80" s="194">
        <f>+'NOT TO USE.'!E80</f>
        <v>53206.06</v>
      </c>
      <c r="J80" s="237">
        <f t="shared" si="14"/>
        <v>13843.069999999992</v>
      </c>
      <c r="K80" s="347">
        <f t="shared" si="15"/>
        <v>0.29991314413675241</v>
      </c>
      <c r="M80" s="237">
        <f t="shared" si="16"/>
        <v>-19843.069999999992</v>
      </c>
      <c r="N80" s="347">
        <f t="shared" si="17"/>
        <v>-0.30065257575757565</v>
      </c>
    </row>
    <row r="81" spans="1:15" x14ac:dyDescent="0.25">
      <c r="A81" s="1"/>
      <c r="B81" s="204" t="s">
        <v>54</v>
      </c>
      <c r="C81" s="3"/>
      <c r="D81" s="213">
        <f>+'NOT TO USE.'!D81</f>
        <v>38026.26</v>
      </c>
      <c r="E81" s="420">
        <v>38031.96</v>
      </c>
      <c r="F81" s="31">
        <v>37808.912693020815</v>
      </c>
      <c r="G81" s="26">
        <v>31416.480000000003</v>
      </c>
      <c r="H81" s="194">
        <f>+'NOT TO USE.'!E81</f>
        <v>33579.17</v>
      </c>
      <c r="J81" s="237">
        <f t="shared" si="14"/>
        <v>-5.6999999999970896</v>
      </c>
      <c r="K81" s="347">
        <f t="shared" si="15"/>
        <v>-1.4987394812145075E-4</v>
      </c>
      <c r="M81" s="237">
        <f t="shared" si="16"/>
        <v>223.04730697918421</v>
      </c>
      <c r="N81" s="347">
        <f t="shared" si="17"/>
        <v>5.8993314298709451E-3</v>
      </c>
    </row>
    <row r="82" spans="1:15" x14ac:dyDescent="0.25">
      <c r="A82" s="1"/>
      <c r="B82" s="205"/>
      <c r="C82" s="3"/>
      <c r="D82" s="214"/>
      <c r="E82" s="421"/>
      <c r="F82" s="34"/>
      <c r="G82" s="35"/>
      <c r="H82" s="195"/>
      <c r="J82" s="246">
        <f t="shared" si="14"/>
        <v>0</v>
      </c>
      <c r="K82" s="349"/>
      <c r="M82" s="246">
        <f t="shared" si="16"/>
        <v>0</v>
      </c>
      <c r="N82" s="349"/>
    </row>
    <row r="83" spans="1:15" ht="15.75" thickBot="1" x14ac:dyDescent="0.3">
      <c r="A83" s="1"/>
      <c r="B83" s="210" t="s">
        <v>55</v>
      </c>
      <c r="C83" s="4"/>
      <c r="D83" s="223">
        <f>SUM(D74:D82)</f>
        <v>555980.26</v>
      </c>
      <c r="E83" s="215">
        <f>SUM(E74:E82)</f>
        <v>598609.75</v>
      </c>
      <c r="F83" s="216">
        <f>SUM(F74:F82)</f>
        <v>616581.9213557808</v>
      </c>
      <c r="G83" s="497">
        <v>574026.83000000007</v>
      </c>
      <c r="H83" s="474">
        <f>SUM(H74:H82)</f>
        <v>493066.48999999993</v>
      </c>
      <c r="J83" s="241">
        <f t="shared" si="14"/>
        <v>-42629.489999999991</v>
      </c>
      <c r="K83" s="353">
        <f>+J83/E83</f>
        <v>-7.1214159141243502E-2</v>
      </c>
      <c r="M83" s="241">
        <f t="shared" si="16"/>
        <v>-17972.171355780796</v>
      </c>
      <c r="N83" s="353">
        <f>+M83/F83</f>
        <v>-2.9148067326175257E-2</v>
      </c>
    </row>
    <row r="84" spans="1:15" ht="15.75" thickBot="1" x14ac:dyDescent="0.3">
      <c r="A84" s="1"/>
      <c r="B84" s="48"/>
      <c r="C84" s="49"/>
      <c r="D84" s="76"/>
      <c r="E84" s="232"/>
      <c r="F84" s="344"/>
      <c r="G84" s="344"/>
      <c r="H84" s="232"/>
      <c r="J84" s="76"/>
      <c r="K84" s="232"/>
      <c r="M84" s="76"/>
      <c r="N84" s="232"/>
    </row>
    <row r="85" spans="1:15" ht="15.75" thickBot="1" x14ac:dyDescent="0.3">
      <c r="A85" s="1"/>
      <c r="B85" s="208" t="s">
        <v>56</v>
      </c>
      <c r="C85" s="4"/>
      <c r="D85" s="9"/>
      <c r="E85" s="9"/>
      <c r="F85" s="9"/>
      <c r="G85" s="9"/>
      <c r="H85" s="9"/>
      <c r="J85" s="9"/>
      <c r="K85" s="357"/>
      <c r="M85" s="9"/>
      <c r="N85" s="357"/>
    </row>
    <row r="86" spans="1:15" x14ac:dyDescent="0.25">
      <c r="A86" s="1"/>
      <c r="B86" s="211" t="s">
        <v>74</v>
      </c>
      <c r="C86" s="3"/>
      <c r="D86" s="212">
        <f>+'NOT TO USE.'!D86</f>
        <v>8400</v>
      </c>
      <c r="E86" s="317">
        <v>11989.79</v>
      </c>
      <c r="F86" s="317">
        <v>8400</v>
      </c>
      <c r="G86" s="317">
        <v>7608.76</v>
      </c>
      <c r="H86" s="317">
        <f>+'NOT TO USE.'!E86</f>
        <v>9012.02</v>
      </c>
      <c r="J86" s="236">
        <f t="shared" ref="J86:J103" si="18">D86-E86</f>
        <v>-3589.7900000000009</v>
      </c>
      <c r="K86" s="366">
        <f t="shared" ref="K86:K103" si="19">+J86/E86</f>
        <v>-0.29940390949299367</v>
      </c>
      <c r="M86" s="236">
        <f t="shared" ref="M86:M103" si="20">E86-F86</f>
        <v>3589.7900000000009</v>
      </c>
      <c r="N86" s="366">
        <f>+M86/F86</f>
        <v>0.42735595238095248</v>
      </c>
    </row>
    <row r="87" spans="1:15" x14ac:dyDescent="0.25">
      <c r="A87" s="1"/>
      <c r="B87" s="204" t="s">
        <v>75</v>
      </c>
      <c r="C87" s="3"/>
      <c r="D87" s="213">
        <f>+'NOT TO USE.'!D87</f>
        <v>12000</v>
      </c>
      <c r="E87" s="311">
        <v>11956.55</v>
      </c>
      <c r="F87" s="311">
        <v>9000</v>
      </c>
      <c r="G87" s="311">
        <v>4987.5</v>
      </c>
      <c r="H87" s="311">
        <f>+'NOT TO USE.'!E87</f>
        <v>6482.7699999999995</v>
      </c>
      <c r="J87" s="237">
        <f t="shared" si="18"/>
        <v>43.450000000000728</v>
      </c>
      <c r="K87" s="347">
        <f t="shared" si="19"/>
        <v>3.6339914105658179E-3</v>
      </c>
      <c r="M87" s="237">
        <f t="shared" si="20"/>
        <v>2956.5499999999993</v>
      </c>
      <c r="N87" s="347">
        <f>+M87/F87</f>
        <v>0.3285055555555555</v>
      </c>
    </row>
    <row r="88" spans="1:15" x14ac:dyDescent="0.25">
      <c r="A88" s="1"/>
      <c r="B88" s="204" t="s">
        <v>76</v>
      </c>
      <c r="C88" s="3"/>
      <c r="D88" s="213">
        <f>+'NOT TO USE.'!D88</f>
        <v>212500</v>
      </c>
      <c r="E88" s="311">
        <v>205542.2</v>
      </c>
      <c r="F88" s="311">
        <v>205000</v>
      </c>
      <c r="G88" s="311">
        <v>187548.62</v>
      </c>
      <c r="H88" s="311">
        <f>+'NOT TO USE.'!E88</f>
        <v>131870.87</v>
      </c>
      <c r="J88" s="237">
        <f t="shared" si="18"/>
        <v>6957.7999999999884</v>
      </c>
      <c r="K88" s="347">
        <f t="shared" si="19"/>
        <v>3.3850956154016003E-2</v>
      </c>
      <c r="M88" s="237">
        <f t="shared" si="20"/>
        <v>542.20000000001164</v>
      </c>
      <c r="N88" s="347">
        <f>+M88/F88</f>
        <v>2.6448780487805445E-3</v>
      </c>
      <c r="O88" s="673"/>
    </row>
    <row r="89" spans="1:15" x14ac:dyDescent="0.25">
      <c r="A89" s="1"/>
      <c r="B89" s="204" t="s">
        <v>77</v>
      </c>
      <c r="C89" s="3"/>
      <c r="D89" s="213">
        <f>+'NOT TO USE.'!D89</f>
        <v>51</v>
      </c>
      <c r="E89" s="311"/>
      <c r="F89" s="311">
        <v>0</v>
      </c>
      <c r="G89" s="311">
        <v>0</v>
      </c>
      <c r="H89" s="311">
        <f>+'NOT TO USE.'!E89</f>
        <v>0</v>
      </c>
      <c r="J89" s="237">
        <f t="shared" si="18"/>
        <v>51</v>
      </c>
      <c r="K89" s="347" t="e">
        <f t="shared" si="19"/>
        <v>#DIV/0!</v>
      </c>
      <c r="M89" s="237">
        <f t="shared" si="20"/>
        <v>0</v>
      </c>
      <c r="N89" s="347">
        <v>0</v>
      </c>
    </row>
    <row r="90" spans="1:15" x14ac:dyDescent="0.25">
      <c r="A90" s="1"/>
      <c r="B90" s="204" t="s">
        <v>78</v>
      </c>
      <c r="C90" s="3"/>
      <c r="D90" s="213">
        <f>+'NOT TO USE.'!D90</f>
        <v>850</v>
      </c>
      <c r="E90" s="311"/>
      <c r="F90" s="311">
        <v>900</v>
      </c>
      <c r="G90" s="311">
        <v>0</v>
      </c>
      <c r="H90" s="311">
        <f>+'NOT TO USE.'!E90</f>
        <v>85.32</v>
      </c>
      <c r="J90" s="237">
        <f t="shared" si="18"/>
        <v>850</v>
      </c>
      <c r="K90" s="347" t="e">
        <f t="shared" si="19"/>
        <v>#DIV/0!</v>
      </c>
      <c r="M90" s="237">
        <f t="shared" si="20"/>
        <v>-900</v>
      </c>
      <c r="N90" s="347">
        <f>+M90/F90</f>
        <v>-1</v>
      </c>
    </row>
    <row r="91" spans="1:15" x14ac:dyDescent="0.25">
      <c r="A91" s="1"/>
      <c r="B91" s="204" t="s">
        <v>79</v>
      </c>
      <c r="C91" s="3"/>
      <c r="D91" s="213">
        <f>+'NOT TO USE.'!D91</f>
        <v>8400</v>
      </c>
      <c r="E91" s="311">
        <v>19284.509999999998</v>
      </c>
      <c r="F91" s="311">
        <v>8400</v>
      </c>
      <c r="G91" s="311">
        <v>5677.94</v>
      </c>
      <c r="H91" s="311">
        <f>+'NOT TO USE.'!E91</f>
        <v>6272.31</v>
      </c>
      <c r="J91" s="237">
        <f t="shared" si="18"/>
        <v>-10884.509999999998</v>
      </c>
      <c r="K91" s="347">
        <f t="shared" si="19"/>
        <v>-0.56441724472128141</v>
      </c>
      <c r="M91" s="237">
        <f t="shared" si="20"/>
        <v>10884.509999999998</v>
      </c>
      <c r="N91" s="347">
        <f>+M91/F91</f>
        <v>1.2957749999999999</v>
      </c>
    </row>
    <row r="92" spans="1:15" x14ac:dyDescent="0.25">
      <c r="A92" s="1"/>
      <c r="B92" s="204" t="s">
        <v>80</v>
      </c>
      <c r="C92" s="3"/>
      <c r="D92" s="213">
        <f>+'NOT TO USE.'!D92</f>
        <v>8400</v>
      </c>
      <c r="E92" s="311">
        <v>15592.44</v>
      </c>
      <c r="F92" s="311">
        <v>16500</v>
      </c>
      <c r="G92" s="311">
        <v>19098.050000000003</v>
      </c>
      <c r="H92" s="311">
        <f>+'NOT TO USE.'!E92</f>
        <v>8584.42</v>
      </c>
      <c r="J92" s="237">
        <f t="shared" si="18"/>
        <v>-7192.4400000000005</v>
      </c>
      <c r="K92" s="347">
        <f t="shared" si="19"/>
        <v>-0.46127738827277837</v>
      </c>
      <c r="M92" s="237">
        <f t="shared" si="20"/>
        <v>-907.55999999999949</v>
      </c>
      <c r="N92" s="347">
        <f>+M92/F92</f>
        <v>-5.5003636363636331E-2</v>
      </c>
    </row>
    <row r="93" spans="1:15" x14ac:dyDescent="0.25">
      <c r="A93" s="1"/>
      <c r="B93" s="204" t="s">
        <v>81</v>
      </c>
      <c r="C93" s="3"/>
      <c r="D93" s="213">
        <f>+'NOT TO USE.'!D93</f>
        <v>24000</v>
      </c>
      <c r="E93" s="311">
        <v>13157.759999999998</v>
      </c>
      <c r="F93" s="311">
        <v>12000</v>
      </c>
      <c r="G93" s="311">
        <v>11451.36</v>
      </c>
      <c r="H93" s="311">
        <f>+'NOT TO USE.'!E93</f>
        <v>34979.080000000009</v>
      </c>
      <c r="J93" s="237">
        <f t="shared" si="18"/>
        <v>10842.240000000002</v>
      </c>
      <c r="K93" s="347">
        <f t="shared" si="19"/>
        <v>0.82401867795126249</v>
      </c>
      <c r="M93" s="237">
        <f t="shared" si="20"/>
        <v>1157.7599999999984</v>
      </c>
      <c r="N93" s="347">
        <f>+M93/F93</f>
        <v>9.6479999999999871E-2</v>
      </c>
    </row>
    <row r="94" spans="1:15" x14ac:dyDescent="0.25">
      <c r="A94" s="1"/>
      <c r="B94" s="204" t="s">
        <v>82</v>
      </c>
      <c r="C94" s="3"/>
      <c r="D94" s="213">
        <f>+'NOT TO USE.'!D94</f>
        <v>6000</v>
      </c>
      <c r="E94" s="311">
        <v>1263.8300000000002</v>
      </c>
      <c r="F94" s="311">
        <v>18000</v>
      </c>
      <c r="G94" s="311">
        <v>17469.599999999999</v>
      </c>
      <c r="H94" s="311">
        <f>+'NOT TO USE.'!E94</f>
        <v>2427.56</v>
      </c>
      <c r="J94" s="237">
        <f t="shared" si="18"/>
        <v>4736.17</v>
      </c>
      <c r="K94" s="347">
        <f t="shared" si="19"/>
        <v>3.7474739482367085</v>
      </c>
      <c r="M94" s="237">
        <f t="shared" si="20"/>
        <v>-16736.169999999998</v>
      </c>
      <c r="N94" s="347">
        <f>+M94/F94</f>
        <v>-0.9297872222222221</v>
      </c>
    </row>
    <row r="95" spans="1:15" x14ac:dyDescent="0.25">
      <c r="A95" s="1"/>
      <c r="B95" s="204" t="s">
        <v>83</v>
      </c>
      <c r="C95" s="3"/>
      <c r="D95" s="213">
        <f>+'NOT TO USE.'!D95</f>
        <v>5500</v>
      </c>
      <c r="E95" s="311">
        <v>33003.65</v>
      </c>
      <c r="F95" s="311">
        <v>4000</v>
      </c>
      <c r="G95" s="311">
        <v>0.18000000000029104</v>
      </c>
      <c r="H95" s="311">
        <f>+'NOT TO USE.'!E95</f>
        <v>5416.24</v>
      </c>
      <c r="J95" s="237">
        <f t="shared" si="18"/>
        <v>-27503.65</v>
      </c>
      <c r="K95" s="347">
        <f t="shared" si="19"/>
        <v>-0.83335176563804303</v>
      </c>
      <c r="M95" s="237">
        <f t="shared" si="20"/>
        <v>29003.65</v>
      </c>
      <c r="N95" s="347">
        <v>0</v>
      </c>
    </row>
    <row r="96" spans="1:15" x14ac:dyDescent="0.25">
      <c r="A96" s="1"/>
      <c r="B96" s="204" t="s">
        <v>84</v>
      </c>
      <c r="C96" s="3"/>
      <c r="D96" s="213">
        <f>+'NOT TO USE.'!D96</f>
        <v>36000</v>
      </c>
      <c r="E96" s="311">
        <v>48562.5</v>
      </c>
      <c r="F96" s="311">
        <v>48000</v>
      </c>
      <c r="G96" s="311">
        <v>69433.75</v>
      </c>
      <c r="H96" s="311">
        <f>+'NOT TO USE.'!E96</f>
        <v>7665</v>
      </c>
      <c r="J96" s="237">
        <f t="shared" si="18"/>
        <v>-12562.5</v>
      </c>
      <c r="K96" s="347">
        <f t="shared" si="19"/>
        <v>-0.25868725868725867</v>
      </c>
      <c r="M96" s="237">
        <f t="shared" si="20"/>
        <v>562.5</v>
      </c>
      <c r="N96" s="347">
        <f t="shared" ref="N96:N103" si="21">+M96/F96</f>
        <v>1.171875E-2</v>
      </c>
    </row>
    <row r="97" spans="1:14" x14ac:dyDescent="0.25">
      <c r="A97" s="1"/>
      <c r="B97" s="204" t="s">
        <v>85</v>
      </c>
      <c r="C97" s="3"/>
      <c r="D97" s="213">
        <f>+'NOT TO USE.'!D97</f>
        <v>26280</v>
      </c>
      <c r="E97" s="311">
        <v>39520</v>
      </c>
      <c r="F97" s="311">
        <v>36600</v>
      </c>
      <c r="G97" s="311">
        <v>32479.5</v>
      </c>
      <c r="H97" s="311">
        <f>+'NOT TO USE.'!E97</f>
        <v>17462</v>
      </c>
      <c r="J97" s="237">
        <f t="shared" si="18"/>
        <v>-13240</v>
      </c>
      <c r="K97" s="347">
        <f t="shared" si="19"/>
        <v>-0.33502024291497978</v>
      </c>
      <c r="M97" s="237">
        <f t="shared" si="20"/>
        <v>2920</v>
      </c>
      <c r="N97" s="347">
        <f t="shared" si="21"/>
        <v>7.9781420765027325E-2</v>
      </c>
    </row>
    <row r="98" spans="1:14" x14ac:dyDescent="0.25">
      <c r="A98" s="1"/>
      <c r="B98" s="204" t="s">
        <v>61</v>
      </c>
      <c r="C98" s="3"/>
      <c r="D98" s="213">
        <f>+'NOT TO USE.'!D98</f>
        <v>1440</v>
      </c>
      <c r="E98" s="311">
        <v>4406.08</v>
      </c>
      <c r="F98" s="311">
        <v>1440</v>
      </c>
      <c r="G98" s="311">
        <v>1263.92</v>
      </c>
      <c r="H98" s="311">
        <f>+'NOT TO USE.'!E98</f>
        <v>790.07000000000016</v>
      </c>
      <c r="J98" s="237">
        <f t="shared" si="18"/>
        <v>-2966.08</v>
      </c>
      <c r="K98" s="347">
        <f t="shared" si="19"/>
        <v>-0.67317888009296245</v>
      </c>
      <c r="M98" s="237">
        <f t="shared" si="20"/>
        <v>2966.08</v>
      </c>
      <c r="N98" s="347">
        <f t="shared" si="21"/>
        <v>2.0597777777777777</v>
      </c>
    </row>
    <row r="99" spans="1:14" x14ac:dyDescent="0.25">
      <c r="A99" s="1"/>
      <c r="B99" s="204" t="s">
        <v>86</v>
      </c>
      <c r="C99" s="3"/>
      <c r="D99" s="213">
        <f>+'NOT TO USE.'!D99</f>
        <v>9500</v>
      </c>
      <c r="E99" s="311">
        <v>15094.3</v>
      </c>
      <c r="F99" s="311">
        <v>6450</v>
      </c>
      <c r="G99" s="311">
        <v>7279.35</v>
      </c>
      <c r="H99" s="311">
        <f>+'NOT TO USE.'!E99</f>
        <v>5553.0499999999993</v>
      </c>
      <c r="J99" s="237">
        <f t="shared" si="18"/>
        <v>-5594.2999999999993</v>
      </c>
      <c r="K99" s="347">
        <f t="shared" si="19"/>
        <v>-0.37062334788628815</v>
      </c>
      <c r="M99" s="237">
        <f t="shared" si="20"/>
        <v>8644.2999999999993</v>
      </c>
      <c r="N99" s="347">
        <f t="shared" si="21"/>
        <v>1.3402015503875968</v>
      </c>
    </row>
    <row r="100" spans="1:14" x14ac:dyDescent="0.25">
      <c r="A100" s="1"/>
      <c r="B100" s="204" t="s">
        <v>87</v>
      </c>
      <c r="C100" s="3"/>
      <c r="D100" s="213">
        <f>+'NOT TO USE.'!D100</f>
        <v>60000</v>
      </c>
      <c r="E100" s="311">
        <v>38679.649999999994</v>
      </c>
      <c r="F100" s="311">
        <v>36000</v>
      </c>
      <c r="G100" s="311">
        <v>27220.519999999997</v>
      </c>
      <c r="H100" s="311">
        <f>+'NOT TO USE.'!E100</f>
        <v>33101.449999999997</v>
      </c>
      <c r="J100" s="237">
        <f t="shared" si="18"/>
        <v>21320.350000000006</v>
      </c>
      <c r="K100" s="347">
        <f t="shared" si="19"/>
        <v>0.55120328131200802</v>
      </c>
      <c r="M100" s="237">
        <f t="shared" si="20"/>
        <v>2679.6499999999942</v>
      </c>
      <c r="N100" s="347">
        <f t="shared" si="21"/>
        <v>7.4434722222222055E-2</v>
      </c>
    </row>
    <row r="101" spans="1:14" x14ac:dyDescent="0.25">
      <c r="A101" s="1"/>
      <c r="B101" s="204" t="s">
        <v>64</v>
      </c>
      <c r="C101" s="3"/>
      <c r="D101" s="213">
        <f>+'NOT TO USE.'!D101</f>
        <v>4500</v>
      </c>
      <c r="E101" s="311">
        <v>4918.95</v>
      </c>
      <c r="F101" s="311">
        <v>6000</v>
      </c>
      <c r="G101" s="311">
        <v>13057.630000000003</v>
      </c>
      <c r="H101" s="311">
        <f>+'NOT TO USE.'!E101</f>
        <v>4627.53</v>
      </c>
      <c r="J101" s="237">
        <f t="shared" si="18"/>
        <v>-418.94999999999982</v>
      </c>
      <c r="K101" s="347">
        <f t="shared" si="19"/>
        <v>-8.5170615680175615E-2</v>
      </c>
      <c r="M101" s="237">
        <f t="shared" si="20"/>
        <v>-1081.0500000000002</v>
      </c>
      <c r="N101" s="347">
        <f t="shared" si="21"/>
        <v>-0.18017500000000003</v>
      </c>
    </row>
    <row r="102" spans="1:14" x14ac:dyDescent="0.25">
      <c r="A102" s="1"/>
      <c r="B102" s="205" t="s">
        <v>88</v>
      </c>
      <c r="C102" s="3"/>
      <c r="D102" s="214">
        <f>+'NOT TO USE.'!D102</f>
        <v>191000.01999999996</v>
      </c>
      <c r="E102" s="314">
        <v>80666.680000000008</v>
      </c>
      <c r="F102" s="314">
        <v>84000</v>
      </c>
      <c r="G102" s="314">
        <v>146369.31000000003</v>
      </c>
      <c r="H102" s="314">
        <f>+'NOT TO USE.'!E102</f>
        <v>150312.97</v>
      </c>
      <c r="J102" s="246">
        <f t="shared" si="18"/>
        <v>110333.33999999995</v>
      </c>
      <c r="K102" s="349">
        <f t="shared" si="19"/>
        <v>1.3677684516085198</v>
      </c>
      <c r="M102" s="246">
        <f t="shared" si="20"/>
        <v>-3333.3199999999924</v>
      </c>
      <c r="N102" s="349">
        <f t="shared" si="21"/>
        <v>-3.9682380952380865E-2</v>
      </c>
    </row>
    <row r="103" spans="1:14" ht="15.75" thickBot="1" x14ac:dyDescent="0.3">
      <c r="A103" s="1"/>
      <c r="B103" s="210" t="s">
        <v>67</v>
      </c>
      <c r="C103" s="4"/>
      <c r="D103" s="223">
        <f>SUM(D86:D102)</f>
        <v>614821.02</v>
      </c>
      <c r="E103" s="319">
        <f>SUM(E86:E102)</f>
        <v>543638.89</v>
      </c>
      <c r="F103" s="319">
        <v>496690</v>
      </c>
      <c r="G103" s="319">
        <v>550945.99</v>
      </c>
      <c r="H103" s="319">
        <f>SUM(H86:H102)</f>
        <v>424642.66000000003</v>
      </c>
      <c r="J103" s="241">
        <f t="shared" si="18"/>
        <v>71182.13</v>
      </c>
      <c r="K103" s="353">
        <f t="shared" si="19"/>
        <v>0.13093641994596819</v>
      </c>
      <c r="M103" s="241">
        <f t="shared" si="20"/>
        <v>46948.890000000014</v>
      </c>
      <c r="N103" s="353">
        <f t="shared" si="21"/>
        <v>9.4523525740401487E-2</v>
      </c>
    </row>
    <row r="104" spans="1:14" ht="15.75" thickBot="1" x14ac:dyDescent="0.3">
      <c r="A104" s="1"/>
      <c r="B104" s="48"/>
      <c r="C104" s="49"/>
      <c r="D104" s="76"/>
      <c r="E104" s="232"/>
      <c r="F104" s="344"/>
      <c r="G104" s="344"/>
      <c r="H104" s="232"/>
      <c r="J104" s="76"/>
      <c r="K104" s="232"/>
      <c r="M104" s="76"/>
      <c r="N104" s="232"/>
    </row>
    <row r="105" spans="1:14" ht="15.75" thickBot="1" x14ac:dyDescent="0.3">
      <c r="A105" s="1"/>
      <c r="B105" s="208" t="s">
        <v>68</v>
      </c>
      <c r="C105" s="4"/>
      <c r="D105" s="9"/>
      <c r="E105" s="9"/>
      <c r="F105" s="9"/>
      <c r="G105" s="9"/>
      <c r="H105" s="9"/>
      <c r="J105" s="9"/>
      <c r="K105" s="357"/>
      <c r="M105" s="9"/>
      <c r="N105" s="357"/>
    </row>
    <row r="106" spans="1:14" ht="15.75" thickBot="1" x14ac:dyDescent="0.3">
      <c r="A106" s="1"/>
      <c r="B106" s="220" t="s">
        <v>69</v>
      </c>
      <c r="C106" s="4"/>
      <c r="D106" s="475">
        <f>D83+D103</f>
        <v>1170801.28</v>
      </c>
      <c r="E106" s="217">
        <f>E83+E103</f>
        <v>1142248.6400000001</v>
      </c>
      <c r="F106" s="218">
        <f>F83+F103</f>
        <v>1113271.9213557807</v>
      </c>
      <c r="G106" s="496">
        <v>1124972.82</v>
      </c>
      <c r="H106" s="219">
        <f>H83+H103</f>
        <v>917709.14999999991</v>
      </c>
      <c r="J106" s="244">
        <f>D106-E106</f>
        <v>28552.639999999898</v>
      </c>
      <c r="K106" s="368">
        <f>+J106/E106</f>
        <v>2.4996869333107626E-2</v>
      </c>
      <c r="M106" s="244">
        <f>E106-F106</f>
        <v>28976.718644219451</v>
      </c>
      <c r="N106" s="368">
        <f>+M106/F106</f>
        <v>2.6028428534270953E-2</v>
      </c>
    </row>
    <row r="107" spans="1:14" ht="15.75" thickBot="1" x14ac:dyDescent="0.3">
      <c r="A107" s="1"/>
      <c r="B107" s="48"/>
      <c r="C107" s="49"/>
      <c r="D107" s="76"/>
      <c r="E107" s="232"/>
      <c r="F107" s="344"/>
      <c r="G107" s="344"/>
      <c r="H107" s="232"/>
      <c r="J107" s="76"/>
      <c r="K107" s="232"/>
      <c r="M107" s="76"/>
      <c r="N107" s="232"/>
    </row>
    <row r="108" spans="1:14" ht="15.75" thickBot="1" x14ac:dyDescent="0.3">
      <c r="A108" s="1"/>
      <c r="B108" s="208" t="s">
        <v>89</v>
      </c>
      <c r="C108" s="4"/>
      <c r="D108" s="101"/>
      <c r="E108" s="101"/>
      <c r="F108" s="101"/>
      <c r="G108" s="101"/>
      <c r="H108" s="101"/>
      <c r="J108" s="101"/>
      <c r="K108" s="358"/>
      <c r="M108" s="101"/>
      <c r="N108" s="358"/>
    </row>
    <row r="109" spans="1:14" ht="15.75" thickBot="1" x14ac:dyDescent="0.3">
      <c r="A109" s="1"/>
      <c r="B109" s="48"/>
      <c r="C109" s="49"/>
      <c r="D109" s="103"/>
      <c r="E109" s="103"/>
      <c r="F109" s="103"/>
      <c r="G109" s="103"/>
      <c r="H109" s="103"/>
      <c r="J109" s="103"/>
      <c r="K109" s="356"/>
      <c r="M109" s="103"/>
      <c r="N109" s="356"/>
    </row>
    <row r="110" spans="1:14" ht="15.75" thickBot="1" x14ac:dyDescent="0.3">
      <c r="A110" s="1"/>
      <c r="B110" s="209" t="s">
        <v>48</v>
      </c>
      <c r="C110" s="4"/>
      <c r="D110" s="369" t="str">
        <f>D3</f>
        <v>BUDGET 2022</v>
      </c>
      <c r="E110" s="369" t="str">
        <f t="shared" ref="E110:H110" si="22">E3</f>
        <v>ACTUAL 2023</v>
      </c>
      <c r="F110" s="369" t="str">
        <f t="shared" si="22"/>
        <v>BUDGET 2023</v>
      </c>
      <c r="G110" s="369" t="s">
        <v>282</v>
      </c>
      <c r="H110" s="416" t="str">
        <f t="shared" si="22"/>
        <v>ACTUAL 2021</v>
      </c>
      <c r="J110" s="235" t="str">
        <f>+J$3</f>
        <v>B 2022 vs Act 2021</v>
      </c>
      <c r="K110" s="372" t="str">
        <f>+K$3</f>
        <v>%</v>
      </c>
      <c r="M110" s="235" t="str">
        <f>+M$3</f>
        <v>Act 2023 vs Bud 2023</v>
      </c>
      <c r="N110" s="372" t="str">
        <f>+N$3</f>
        <v>%</v>
      </c>
    </row>
    <row r="111" spans="1:14" x14ac:dyDescent="0.25">
      <c r="A111" s="1"/>
      <c r="B111" s="221" t="s">
        <v>19</v>
      </c>
      <c r="C111" s="3"/>
      <c r="D111" s="213">
        <f>+'NOT TO USE.'!D111</f>
        <v>200500</v>
      </c>
      <c r="E111" s="311">
        <v>215743.05000000002</v>
      </c>
      <c r="F111" s="311">
        <v>236161.35016500001</v>
      </c>
      <c r="G111" s="311">
        <v>213680.13000000003</v>
      </c>
      <c r="H111" s="311">
        <f>+'NOT TO USE.'!E111</f>
        <v>186520</v>
      </c>
      <c r="J111" s="237">
        <f t="shared" ref="J111:J119" si="23">D111-E111</f>
        <v>-15243.050000000017</v>
      </c>
      <c r="K111" s="347">
        <f>+J111/E111</f>
        <v>-7.0653724418932695E-2</v>
      </c>
      <c r="M111" s="237">
        <f t="shared" ref="M111:M119" si="24">E111-F111</f>
        <v>-20418.300164999993</v>
      </c>
      <c r="N111" s="347">
        <f>+M111/F111</f>
        <v>-8.6459110056468766E-2</v>
      </c>
    </row>
    <row r="112" spans="1:14" x14ac:dyDescent="0.25">
      <c r="A112" s="1"/>
      <c r="B112" s="204" t="s">
        <v>50</v>
      </c>
      <c r="C112" s="3"/>
      <c r="D112" s="213">
        <f>+'NOT TO USE.'!D112</f>
        <v>15874.5</v>
      </c>
      <c r="E112" s="311">
        <v>29360.98</v>
      </c>
      <c r="F112" s="311">
        <v>23616.135016499997</v>
      </c>
      <c r="G112" s="311">
        <v>17985.91</v>
      </c>
      <c r="H112" s="311">
        <f>+'NOT TO USE.'!E112</f>
        <v>14926</v>
      </c>
      <c r="J112" s="237">
        <f t="shared" si="23"/>
        <v>-13486.48</v>
      </c>
      <c r="K112" s="347">
        <f>+J112/E112</f>
        <v>-0.4593334418674036</v>
      </c>
      <c r="M112" s="237">
        <f t="shared" si="24"/>
        <v>5744.8449835000029</v>
      </c>
      <c r="N112" s="347">
        <f>+M112/F112</f>
        <v>0.24325932162422959</v>
      </c>
    </row>
    <row r="113" spans="1:14" x14ac:dyDescent="0.25">
      <c r="A113" s="1"/>
      <c r="B113" s="204" t="s">
        <v>73</v>
      </c>
      <c r="C113" s="3"/>
      <c r="D113" s="213">
        <f>+'NOT TO USE.'!D113</f>
        <v>13560</v>
      </c>
      <c r="E113" s="311">
        <v>21179.170000000002</v>
      </c>
      <c r="F113" s="311">
        <v>17943.750000000004</v>
      </c>
      <c r="G113" s="311">
        <v>17295.173999999995</v>
      </c>
      <c r="H113" s="311">
        <f>+'NOT TO USE.'!E113</f>
        <v>11964</v>
      </c>
      <c r="J113" s="237">
        <f t="shared" si="23"/>
        <v>-7619.1700000000019</v>
      </c>
      <c r="K113" s="347">
        <f>+J113/E113</f>
        <v>-0.35974828097607231</v>
      </c>
      <c r="M113" s="237">
        <f t="shared" si="24"/>
        <v>3235.4199999999983</v>
      </c>
      <c r="N113" s="347">
        <f>+M113/F113</f>
        <v>0.18030902124695214</v>
      </c>
    </row>
    <row r="114" spans="1:14" x14ac:dyDescent="0.25">
      <c r="A114" s="1"/>
      <c r="B114" s="204" t="s">
        <v>52</v>
      </c>
      <c r="C114" s="3"/>
      <c r="D114" s="213">
        <f>+'NOT TO USE.'!D114</f>
        <v>0</v>
      </c>
      <c r="E114" s="311">
        <f>+'NOT TO USE.'!E114</f>
        <v>0</v>
      </c>
      <c r="F114" s="311">
        <f>+'NOT TO USE.'!D114</f>
        <v>0</v>
      </c>
      <c r="G114" s="311">
        <v>0</v>
      </c>
      <c r="H114" s="311">
        <f>+'NOT TO USE.'!E114</f>
        <v>0</v>
      </c>
      <c r="J114" s="237">
        <f t="shared" si="23"/>
        <v>0</v>
      </c>
      <c r="K114" s="347"/>
      <c r="M114" s="237">
        <f t="shared" si="24"/>
        <v>0</v>
      </c>
      <c r="N114" s="347"/>
    </row>
    <row r="115" spans="1:14" x14ac:dyDescent="0.25">
      <c r="A115" s="1"/>
      <c r="B115" s="204" t="s">
        <v>53</v>
      </c>
      <c r="C115" s="3"/>
      <c r="D115" s="213">
        <f>+'NOT TO USE.'!D115</f>
        <v>21600</v>
      </c>
      <c r="E115" s="311">
        <v>17701.940000000002</v>
      </c>
      <c r="F115" s="311">
        <v>14400</v>
      </c>
      <c r="G115" s="311">
        <v>25249.540000000005</v>
      </c>
      <c r="H115" s="311">
        <f>+'NOT TO USE.'!E115</f>
        <v>21220</v>
      </c>
      <c r="J115" s="237">
        <f t="shared" si="23"/>
        <v>3898.0599999999977</v>
      </c>
      <c r="K115" s="347">
        <f>+J115/E115</f>
        <v>0.22020524304115804</v>
      </c>
      <c r="M115" s="237">
        <f t="shared" si="24"/>
        <v>3301.9400000000023</v>
      </c>
      <c r="N115" s="347">
        <f>+M115/F115</f>
        <v>0.22930138888888904</v>
      </c>
    </row>
    <row r="116" spans="1:14" x14ac:dyDescent="0.25">
      <c r="A116" s="1"/>
      <c r="B116" s="204" t="s">
        <v>54</v>
      </c>
      <c r="C116" s="3"/>
      <c r="D116" s="213">
        <f>+'NOT TO USE.'!D116</f>
        <v>22055</v>
      </c>
      <c r="E116" s="311">
        <v>29435.289999999997</v>
      </c>
      <c r="F116" s="311">
        <v>23616.135016499997</v>
      </c>
      <c r="G116" s="311">
        <v>21159.360000000001</v>
      </c>
      <c r="H116" s="311">
        <f>+'NOT TO USE.'!E116</f>
        <v>18527</v>
      </c>
      <c r="J116" s="237">
        <f t="shared" si="23"/>
        <v>-7380.2899999999972</v>
      </c>
      <c r="K116" s="347">
        <f>+J116/E116</f>
        <v>-0.25072931165278134</v>
      </c>
      <c r="M116" s="237">
        <f t="shared" si="24"/>
        <v>5819.1549835000005</v>
      </c>
      <c r="N116" s="347">
        <f>+M116/F116</f>
        <v>0.24640589916319092</v>
      </c>
    </row>
    <row r="117" spans="1:14" x14ac:dyDescent="0.25">
      <c r="A117" s="1"/>
      <c r="B117" s="204" t="s">
        <v>90</v>
      </c>
      <c r="C117" s="3"/>
      <c r="D117" s="213">
        <f>+'NOT TO USE.'!D117</f>
        <v>-136794.75</v>
      </c>
      <c r="E117" s="311">
        <v>-156710.39000000001</v>
      </c>
      <c r="F117" s="311">
        <v>-157868.68509899999</v>
      </c>
      <c r="G117" s="311">
        <v>-147686</v>
      </c>
      <c r="H117" s="311">
        <f>+'NOT TO USE.'!E117</f>
        <v>-126579</v>
      </c>
      <c r="J117" s="237">
        <f t="shared" si="23"/>
        <v>19915.640000000014</v>
      </c>
      <c r="K117" s="347">
        <f>+J117/E117</f>
        <v>-0.12708563867398973</v>
      </c>
      <c r="M117" s="237">
        <f t="shared" si="24"/>
        <v>1158.2950989999808</v>
      </c>
      <c r="N117" s="347">
        <f>+M117/F117</f>
        <v>-7.3370795371710991E-3</v>
      </c>
    </row>
    <row r="118" spans="1:14" x14ac:dyDescent="0.25">
      <c r="A118" s="1"/>
      <c r="B118" s="203"/>
      <c r="C118" s="4"/>
      <c r="D118" s="314"/>
      <c r="E118" s="314"/>
      <c r="F118" s="314"/>
      <c r="G118" s="314"/>
      <c r="H118" s="314"/>
      <c r="J118" s="246">
        <f t="shared" si="23"/>
        <v>0</v>
      </c>
      <c r="K118" s="349"/>
      <c r="M118" s="246">
        <f t="shared" si="24"/>
        <v>0</v>
      </c>
      <c r="N118" s="349"/>
    </row>
    <row r="119" spans="1:14" ht="15.75" thickBot="1" x14ac:dyDescent="0.3">
      <c r="A119" s="1"/>
      <c r="B119" s="206" t="s">
        <v>55</v>
      </c>
      <c r="C119" s="4"/>
      <c r="D119" s="223">
        <f>SUM(D111:D118)</f>
        <v>136794.75</v>
      </c>
      <c r="E119" s="319">
        <f>SUM(E111:E118)</f>
        <v>156710.03999999998</v>
      </c>
      <c r="F119" s="319">
        <f>SUM(F111:F118)</f>
        <v>157868.68509900005</v>
      </c>
      <c r="G119" s="319">
        <v>147684.114</v>
      </c>
      <c r="H119" s="319">
        <f>SUM(H111:H118)</f>
        <v>126578</v>
      </c>
      <c r="J119" s="241">
        <f t="shared" si="23"/>
        <v>-19915.289999999979</v>
      </c>
      <c r="K119" s="353">
        <f>+J119/E119</f>
        <v>-0.12708368908590656</v>
      </c>
      <c r="M119" s="241">
        <f t="shared" si="24"/>
        <v>-1158.645099000074</v>
      </c>
      <c r="N119" s="353">
        <f>+M119/F119</f>
        <v>-7.3392965696362344E-3</v>
      </c>
    </row>
    <row r="120" spans="1:14" ht="15.75" thickBot="1" x14ac:dyDescent="0.3">
      <c r="A120" s="1"/>
      <c r="B120" s="48"/>
      <c r="C120" s="49"/>
      <c r="D120" s="76"/>
      <c r="E120" s="76"/>
      <c r="F120" s="76"/>
      <c r="G120" s="76"/>
      <c r="H120" s="76"/>
      <c r="J120" s="76"/>
      <c r="K120" s="232"/>
      <c r="M120" s="76"/>
      <c r="N120" s="232"/>
    </row>
    <row r="121" spans="1:14" ht="15.75" thickBot="1" x14ac:dyDescent="0.3">
      <c r="A121" s="1"/>
      <c r="B121" s="208" t="s">
        <v>56</v>
      </c>
      <c r="C121" s="4"/>
      <c r="D121" s="9"/>
      <c r="E121" s="9"/>
      <c r="F121" s="9"/>
      <c r="G121" s="9"/>
      <c r="H121" s="9"/>
      <c r="J121" s="9"/>
      <c r="K121" s="357"/>
      <c r="M121" s="9"/>
      <c r="N121" s="357"/>
    </row>
    <row r="122" spans="1:14" x14ac:dyDescent="0.25">
      <c r="A122" s="3"/>
      <c r="B122" s="211" t="s">
        <v>91</v>
      </c>
      <c r="C122" s="3"/>
      <c r="D122" s="322">
        <f>+'NOT TO USE.'!D122</f>
        <v>72500</v>
      </c>
      <c r="E122" s="326">
        <v>81987.62999999999</v>
      </c>
      <c r="F122" s="326">
        <v>33000</v>
      </c>
      <c r="G122" s="326">
        <v>31677.01</v>
      </c>
      <c r="H122" s="326">
        <f>+'NOT TO USE.'!E122</f>
        <v>26296.329999999998</v>
      </c>
      <c r="J122" s="236">
        <f t="shared" ref="J122:J133" si="25">D122-E122</f>
        <v>-9487.6299999999901</v>
      </c>
      <c r="K122" s="366">
        <f t="shared" ref="K122:K133" si="26">+J122/E122</f>
        <v>-0.11572026170289336</v>
      </c>
      <c r="M122" s="236">
        <f t="shared" ref="M122:M133" si="27">E122-F122</f>
        <v>48987.62999999999</v>
      </c>
      <c r="N122" s="366">
        <f t="shared" ref="N122:N127" si="28">+M122/F122</f>
        <v>1.4844736363636362</v>
      </c>
    </row>
    <row r="123" spans="1:14" x14ac:dyDescent="0.25">
      <c r="A123" s="3"/>
      <c r="B123" s="204" t="s">
        <v>110</v>
      </c>
      <c r="C123" s="3"/>
      <c r="D123" s="323">
        <f>+'NOT TO USE.'!D123</f>
        <v>2400</v>
      </c>
      <c r="E123" s="315">
        <v>3484.25</v>
      </c>
      <c r="F123" s="315">
        <v>2400</v>
      </c>
      <c r="G123" s="315">
        <v>464.01</v>
      </c>
      <c r="H123" s="315">
        <f>+'NOT TO USE.'!E123</f>
        <v>0</v>
      </c>
      <c r="J123" s="237">
        <f t="shared" si="25"/>
        <v>-1084.25</v>
      </c>
      <c r="K123" s="347">
        <f t="shared" si="26"/>
        <v>-0.31118605151754325</v>
      </c>
      <c r="M123" s="237">
        <f t="shared" si="27"/>
        <v>1084.25</v>
      </c>
      <c r="N123" s="347">
        <f t="shared" si="28"/>
        <v>0.45177083333333334</v>
      </c>
    </row>
    <row r="124" spans="1:14" x14ac:dyDescent="0.25">
      <c r="A124" s="3"/>
      <c r="B124" s="204" t="s">
        <v>92</v>
      </c>
      <c r="C124" s="3"/>
      <c r="D124" s="323">
        <f>+'NOT TO USE.'!D124</f>
        <v>22500</v>
      </c>
      <c r="E124" s="315">
        <v>18286.98</v>
      </c>
      <c r="F124" s="315">
        <v>5100</v>
      </c>
      <c r="G124" s="315">
        <v>2162.2800000000002</v>
      </c>
      <c r="H124" s="315">
        <f>+'NOT TO USE.'!E124</f>
        <v>3272.86</v>
      </c>
      <c r="J124" s="237">
        <f t="shared" si="25"/>
        <v>4213.0200000000004</v>
      </c>
      <c r="K124" s="347">
        <f t="shared" si="26"/>
        <v>0.2303835843862683</v>
      </c>
      <c r="M124" s="237">
        <f t="shared" si="27"/>
        <v>13186.98</v>
      </c>
      <c r="N124" s="347">
        <f t="shared" si="28"/>
        <v>2.5856823529411765</v>
      </c>
    </row>
    <row r="125" spans="1:14" x14ac:dyDescent="0.25">
      <c r="A125" s="3"/>
      <c r="B125" s="204" t="s">
        <v>61</v>
      </c>
      <c r="C125" s="3"/>
      <c r="D125" s="323">
        <f>+'NOT TO USE.'!D125</f>
        <v>1800</v>
      </c>
      <c r="E125" s="315">
        <v>813.98</v>
      </c>
      <c r="F125" s="315">
        <v>1800</v>
      </c>
      <c r="G125" s="315">
        <v>1541.46</v>
      </c>
      <c r="H125" s="315">
        <f>+'NOT TO USE.'!E125</f>
        <v>2368.2599999999993</v>
      </c>
      <c r="J125" s="237">
        <f t="shared" si="25"/>
        <v>986.02</v>
      </c>
      <c r="K125" s="347">
        <f t="shared" si="26"/>
        <v>1.2113565443868399</v>
      </c>
      <c r="M125" s="237">
        <f t="shared" si="27"/>
        <v>-986.02</v>
      </c>
      <c r="N125" s="347">
        <f t="shared" si="28"/>
        <v>-0.54778888888888888</v>
      </c>
    </row>
    <row r="126" spans="1:14" x14ac:dyDescent="0.25">
      <c r="A126" s="3"/>
      <c r="B126" s="222" t="s">
        <v>79</v>
      </c>
      <c r="C126" s="3"/>
      <c r="D126" s="323">
        <f>+'NOT TO USE.'!D126</f>
        <v>12600</v>
      </c>
      <c r="E126" s="162">
        <v>7740.97</v>
      </c>
      <c r="F126" s="162">
        <v>12600</v>
      </c>
      <c r="G126" s="162">
        <v>11805.970000000001</v>
      </c>
      <c r="H126" s="162">
        <f>+'NOT TO USE.'!E126</f>
        <v>0</v>
      </c>
      <c r="J126" s="237">
        <f t="shared" si="25"/>
        <v>4859.03</v>
      </c>
      <c r="K126" s="347">
        <f t="shared" si="26"/>
        <v>0.62770298812681091</v>
      </c>
      <c r="M126" s="237">
        <f t="shared" si="27"/>
        <v>-4859.03</v>
      </c>
      <c r="N126" s="347">
        <f t="shared" si="28"/>
        <v>-0.38563730158730158</v>
      </c>
    </row>
    <row r="127" spans="1:14" x14ac:dyDescent="0.25">
      <c r="A127" s="1"/>
      <c r="B127" s="204" t="s">
        <v>93</v>
      </c>
      <c r="C127" s="1"/>
      <c r="D127" s="323">
        <f>+'NOT TO USE.'!D127</f>
        <v>335000</v>
      </c>
      <c r="E127" s="327">
        <v>431772.30159260193</v>
      </c>
      <c r="F127" s="327">
        <v>390000</v>
      </c>
      <c r="G127" s="327">
        <v>418600.15</v>
      </c>
      <c r="H127" s="327">
        <f>+'NOT TO USE.'!E127</f>
        <v>317687.77324644401</v>
      </c>
      <c r="J127" s="237">
        <f t="shared" si="25"/>
        <v>-96772.301592601929</v>
      </c>
      <c r="K127" s="347">
        <f t="shared" si="26"/>
        <v>-0.22412809074518003</v>
      </c>
      <c r="M127" s="237">
        <f t="shared" si="27"/>
        <v>41772.301592601929</v>
      </c>
      <c r="N127" s="347">
        <f t="shared" si="28"/>
        <v>0.10710846562205623</v>
      </c>
    </row>
    <row r="128" spans="1:14" x14ac:dyDescent="0.25">
      <c r="A128" s="1"/>
      <c r="B128" s="204" t="s">
        <v>94</v>
      </c>
      <c r="C128" s="3"/>
      <c r="D128" s="323">
        <f>+'NOT TO USE.'!D128</f>
        <v>1200</v>
      </c>
      <c r="E128" s="315">
        <v>0</v>
      </c>
      <c r="F128" s="315">
        <v>1200</v>
      </c>
      <c r="G128" s="315">
        <v>0</v>
      </c>
      <c r="H128" s="315">
        <f>+'NOT TO USE.'!E128</f>
        <v>6085.5300000000007</v>
      </c>
      <c r="J128" s="237">
        <f t="shared" si="25"/>
        <v>1200</v>
      </c>
      <c r="K128" s="347" t="e">
        <f t="shared" si="26"/>
        <v>#DIV/0!</v>
      </c>
      <c r="M128" s="237">
        <f t="shared" si="27"/>
        <v>-1200</v>
      </c>
      <c r="N128" s="347">
        <v>0</v>
      </c>
    </row>
    <row r="129" spans="1:14" x14ac:dyDescent="0.25">
      <c r="A129" s="1"/>
      <c r="B129" s="204" t="s">
        <v>90</v>
      </c>
      <c r="C129" s="1"/>
      <c r="D129" s="323">
        <f>+'NOT TO USE.'!D129</f>
        <v>-224000</v>
      </c>
      <c r="E129" s="327">
        <v>-270701.35000000021</v>
      </c>
      <c r="F129" s="327">
        <v>-223050</v>
      </c>
      <c r="G129" s="327">
        <v>-233273.96</v>
      </c>
      <c r="H129" s="327">
        <f>+'NOT TO USE.'!E129</f>
        <v>-179139.06</v>
      </c>
      <c r="J129" s="237">
        <f t="shared" si="25"/>
        <v>46701.35000000021</v>
      </c>
      <c r="K129" s="347">
        <f t="shared" si="26"/>
        <v>-0.17251982673895114</v>
      </c>
      <c r="M129" s="237">
        <f t="shared" si="27"/>
        <v>-47651.35000000021</v>
      </c>
      <c r="N129" s="347">
        <f>+M129/F129</f>
        <v>0.21363528356870751</v>
      </c>
    </row>
    <row r="130" spans="1:14" x14ac:dyDescent="0.25">
      <c r="A130" s="1"/>
      <c r="B130" s="204" t="s">
        <v>95</v>
      </c>
      <c r="C130" s="3"/>
      <c r="D130" s="323">
        <f>+'NOT TO USE.'!D130</f>
        <v>57000</v>
      </c>
      <c r="E130" s="315">
        <v>59621.95</v>
      </c>
      <c r="F130" s="315">
        <v>62400</v>
      </c>
      <c r="G130" s="315">
        <v>61008</v>
      </c>
      <c r="H130" s="315">
        <f>+'NOT TO USE.'!E130</f>
        <v>55780.185420000002</v>
      </c>
      <c r="J130" s="237">
        <f t="shared" si="25"/>
        <v>-2621.9499999999971</v>
      </c>
      <c r="K130" s="347">
        <f t="shared" si="26"/>
        <v>-4.3976253711929869E-2</v>
      </c>
      <c r="M130" s="237">
        <f t="shared" si="27"/>
        <v>-2778.0500000000029</v>
      </c>
      <c r="N130" s="347">
        <f>+M130/F130</f>
        <v>-4.4520032051282098E-2</v>
      </c>
    </row>
    <row r="131" spans="1:14" x14ac:dyDescent="0.25">
      <c r="A131" s="1"/>
      <c r="B131" s="204" t="s">
        <v>96</v>
      </c>
      <c r="C131" s="3"/>
      <c r="D131" s="324">
        <f>+'NOT TO USE.'!D131</f>
        <v>7200</v>
      </c>
      <c r="E131" s="315">
        <v>3760.84</v>
      </c>
      <c r="F131" s="315">
        <v>7200</v>
      </c>
      <c r="G131" s="315">
        <v>10826.44</v>
      </c>
      <c r="H131" s="315">
        <f>+'NOT TO USE.'!E131</f>
        <v>530.4</v>
      </c>
      <c r="J131" s="237">
        <f t="shared" si="25"/>
        <v>3439.16</v>
      </c>
      <c r="K131" s="347">
        <f t="shared" si="26"/>
        <v>0.91446591718871306</v>
      </c>
      <c r="M131" s="237">
        <f t="shared" si="27"/>
        <v>-3439.16</v>
      </c>
      <c r="N131" s="347">
        <f>+M131/F131</f>
        <v>-0.47766111111111109</v>
      </c>
    </row>
    <row r="132" spans="1:14" x14ac:dyDescent="0.25">
      <c r="A132" s="1"/>
      <c r="B132" s="205" t="s">
        <v>97</v>
      </c>
      <c r="C132" s="3"/>
      <c r="D132" s="325">
        <f>+'NOT TO USE.'!D132</f>
        <v>6100</v>
      </c>
      <c r="E132" s="328">
        <v>11732.32</v>
      </c>
      <c r="F132" s="328">
        <v>16500</v>
      </c>
      <c r="G132" s="328">
        <v>14063.41</v>
      </c>
      <c r="H132" s="328">
        <f>+'NOT TO USE.'!E132</f>
        <v>5404.85</v>
      </c>
      <c r="J132" s="246">
        <f t="shared" si="25"/>
        <v>-5632.32</v>
      </c>
      <c r="K132" s="349">
        <f t="shared" si="26"/>
        <v>-0.48006873320877713</v>
      </c>
      <c r="M132" s="246">
        <f t="shared" si="27"/>
        <v>-4767.68</v>
      </c>
      <c r="N132" s="349">
        <f>+M132/F132</f>
        <v>-0.28895030303030306</v>
      </c>
    </row>
    <row r="133" spans="1:14" ht="15.75" thickBot="1" x14ac:dyDescent="0.3">
      <c r="A133" s="1"/>
      <c r="B133" s="210" t="s">
        <v>67</v>
      </c>
      <c r="C133" s="4"/>
      <c r="D133" s="223">
        <f>SUM(D122:D132)</f>
        <v>294300</v>
      </c>
      <c r="E133" s="319">
        <f>SUM(E122:E132)</f>
        <v>348499.8715926017</v>
      </c>
      <c r="F133" s="319">
        <f>SUM(F122:F132)</f>
        <v>309150</v>
      </c>
      <c r="G133" s="319">
        <v>318874.77</v>
      </c>
      <c r="H133" s="319">
        <f>SUM(H122:H132)</f>
        <v>238287.12866644404</v>
      </c>
      <c r="J133" s="241">
        <f t="shared" si="25"/>
        <v>-54199.871592601703</v>
      </c>
      <c r="K133" s="353">
        <f t="shared" si="26"/>
        <v>-0.15552336173013473</v>
      </c>
      <c r="M133" s="241">
        <f t="shared" si="27"/>
        <v>39349.871592601703</v>
      </c>
      <c r="N133" s="353">
        <f>+M133/F133</f>
        <v>0.12728407437361056</v>
      </c>
    </row>
    <row r="134" spans="1:14" ht="15.75" thickBot="1" x14ac:dyDescent="0.3">
      <c r="A134" s="1"/>
      <c r="B134" s="48"/>
      <c r="C134" s="49"/>
      <c r="D134" s="57"/>
      <c r="E134" s="57"/>
      <c r="F134" s="57"/>
      <c r="G134" s="57"/>
      <c r="H134" s="57"/>
      <c r="J134" s="57"/>
      <c r="K134" s="232"/>
      <c r="M134" s="57"/>
      <c r="N134" s="232"/>
    </row>
    <row r="135" spans="1:14" ht="15.75" thickBot="1" x14ac:dyDescent="0.3">
      <c r="A135" s="1"/>
      <c r="B135" s="208" t="s">
        <v>68</v>
      </c>
      <c r="C135" s="4"/>
      <c r="D135" s="120"/>
      <c r="E135" s="120"/>
      <c r="F135" s="120"/>
      <c r="G135" s="120"/>
      <c r="H135" s="120"/>
      <c r="J135" s="120"/>
      <c r="K135" s="357"/>
      <c r="M135" s="120"/>
      <c r="N135" s="357"/>
    </row>
    <row r="136" spans="1:14" ht="15.75" thickBot="1" x14ac:dyDescent="0.3">
      <c r="A136" s="1"/>
      <c r="B136" s="220" t="s">
        <v>69</v>
      </c>
      <c r="C136" s="4"/>
      <c r="D136" s="475">
        <f>D119+D133</f>
        <v>431094.75</v>
      </c>
      <c r="E136" s="217">
        <f>E119+E133</f>
        <v>505209.91159260168</v>
      </c>
      <c r="F136" s="218">
        <f>F119+F133</f>
        <v>467018.68509900005</v>
      </c>
      <c r="G136" s="496">
        <v>466558.88400000002</v>
      </c>
      <c r="H136" s="219">
        <f>H119+H133</f>
        <v>364865.12866644404</v>
      </c>
      <c r="J136" s="244">
        <f>D136-E136</f>
        <v>-74115.161592601682</v>
      </c>
      <c r="K136" s="368">
        <f>+J136/E136</f>
        <v>-0.14670171723069383</v>
      </c>
      <c r="M136" s="244">
        <f>E136-F136</f>
        <v>38191.226493601629</v>
      </c>
      <c r="N136" s="368">
        <f>+M136/F136</f>
        <v>8.1776656292682881E-2</v>
      </c>
    </row>
    <row r="137" spans="1:14" x14ac:dyDescent="0.25">
      <c r="A137" s="1"/>
      <c r="B137" s="2"/>
      <c r="C137" s="4"/>
      <c r="D137" s="100"/>
      <c r="E137" s="100"/>
      <c r="F137" s="100"/>
      <c r="G137" s="100"/>
      <c r="H137" s="100"/>
      <c r="J137" s="100"/>
      <c r="K137" s="233"/>
      <c r="M137" s="100"/>
      <c r="N137" s="233"/>
    </row>
    <row r="138" spans="1:14" ht="15.75" thickBot="1" x14ac:dyDescent="0.3">
      <c r="A138" s="1"/>
      <c r="B138" s="48"/>
      <c r="C138" s="49"/>
      <c r="D138" s="76"/>
      <c r="E138" s="76"/>
      <c r="F138" s="76"/>
      <c r="G138" s="76"/>
      <c r="H138" s="76"/>
      <c r="J138" s="76"/>
      <c r="K138" s="232"/>
      <c r="M138" s="76"/>
      <c r="N138" s="232"/>
    </row>
    <row r="139" spans="1:14" ht="15.75" thickBot="1" x14ac:dyDescent="0.3">
      <c r="A139" s="1"/>
      <c r="B139" s="208" t="s">
        <v>98</v>
      </c>
      <c r="C139" s="4"/>
      <c r="D139" s="101"/>
      <c r="E139" s="101"/>
      <c r="F139" s="101"/>
      <c r="G139" s="101"/>
      <c r="H139" s="101"/>
      <c r="J139" s="101"/>
      <c r="K139" s="358"/>
      <c r="M139" s="101"/>
      <c r="N139" s="358"/>
    </row>
    <row r="140" spans="1:14" ht="15.75" thickBot="1" x14ac:dyDescent="0.3">
      <c r="A140" s="1"/>
      <c r="B140" s="48"/>
      <c r="C140" s="49"/>
      <c r="D140" s="103"/>
      <c r="E140" s="103"/>
      <c r="F140" s="103"/>
      <c r="G140" s="103"/>
      <c r="H140" s="103"/>
      <c r="J140" s="103"/>
      <c r="K140" s="356"/>
      <c r="M140" s="103"/>
      <c r="N140" s="356"/>
    </row>
    <row r="141" spans="1:14" ht="15.75" thickBot="1" x14ac:dyDescent="0.3">
      <c r="A141" s="1"/>
      <c r="B141" s="208" t="s">
        <v>48</v>
      </c>
      <c r="C141" s="4"/>
      <c r="D141" s="224" t="str">
        <f>D3</f>
        <v>BUDGET 2022</v>
      </c>
      <c r="E141" s="224" t="str">
        <f t="shared" ref="E141:H141" si="29">E3</f>
        <v>ACTUAL 2023</v>
      </c>
      <c r="F141" s="224" t="str">
        <f t="shared" si="29"/>
        <v>BUDGET 2023</v>
      </c>
      <c r="G141" s="224" t="s">
        <v>282</v>
      </c>
      <c r="H141" s="224" t="str">
        <f t="shared" si="29"/>
        <v>ACTUAL 2021</v>
      </c>
      <c r="J141" s="235" t="str">
        <f>+J$3</f>
        <v>B 2022 vs Act 2021</v>
      </c>
      <c r="K141" s="372" t="str">
        <f>+K$3</f>
        <v>%</v>
      </c>
      <c r="M141" s="235" t="str">
        <f>+M$3</f>
        <v>Act 2023 vs Bud 2023</v>
      </c>
      <c r="N141" s="372" t="str">
        <f>+N$3</f>
        <v>%</v>
      </c>
    </row>
    <row r="142" spans="1:14" x14ac:dyDescent="0.25">
      <c r="A142" s="1"/>
      <c r="B142" s="225" t="s">
        <v>99</v>
      </c>
      <c r="C142" s="3"/>
      <c r="D142" s="334"/>
      <c r="E142" s="340"/>
      <c r="F142" s="340"/>
      <c r="G142" s="340"/>
      <c r="H142" s="340"/>
      <c r="J142" s="245"/>
      <c r="K142" s="347"/>
      <c r="M142" s="245"/>
      <c r="N142" s="347"/>
    </row>
    <row r="143" spans="1:14" x14ac:dyDescent="0.25">
      <c r="A143" s="1"/>
      <c r="B143" s="203" t="s">
        <v>100</v>
      </c>
      <c r="C143" s="4"/>
      <c r="D143" s="335"/>
      <c r="E143" s="341"/>
      <c r="F143" s="341"/>
      <c r="G143" s="341"/>
      <c r="H143" s="341"/>
      <c r="J143" s="245"/>
      <c r="K143" s="347"/>
      <c r="M143" s="245"/>
      <c r="N143" s="347"/>
    </row>
    <row r="144" spans="1:14" x14ac:dyDescent="0.25">
      <c r="A144" s="1"/>
      <c r="B144" s="204"/>
      <c r="C144" s="3"/>
      <c r="D144" s="335"/>
      <c r="E144" s="341"/>
      <c r="F144" s="341"/>
      <c r="G144" s="341"/>
      <c r="H144" s="341"/>
      <c r="J144" s="245"/>
      <c r="K144" s="347"/>
      <c r="M144" s="245"/>
      <c r="N144" s="347"/>
    </row>
    <row r="145" spans="1:14" x14ac:dyDescent="0.25">
      <c r="A145" s="1"/>
      <c r="B145" s="204" t="s">
        <v>50</v>
      </c>
      <c r="C145" s="3"/>
      <c r="D145" s="335"/>
      <c r="E145" s="341"/>
      <c r="F145" s="341"/>
      <c r="G145" s="341"/>
      <c r="H145" s="341"/>
      <c r="J145" s="245"/>
      <c r="K145" s="347"/>
      <c r="M145" s="245"/>
      <c r="N145" s="347"/>
    </row>
    <row r="146" spans="1:14" x14ac:dyDescent="0.25">
      <c r="A146" s="1"/>
      <c r="B146" s="204" t="s">
        <v>73</v>
      </c>
      <c r="C146" s="3"/>
      <c r="D146" s="335"/>
      <c r="E146" s="341"/>
      <c r="F146" s="341"/>
      <c r="G146" s="341"/>
      <c r="H146" s="341"/>
      <c r="J146" s="245"/>
      <c r="K146" s="347"/>
      <c r="M146" s="245"/>
      <c r="N146" s="347"/>
    </row>
    <row r="147" spans="1:14" x14ac:dyDescent="0.25">
      <c r="A147" s="1"/>
      <c r="B147" s="204" t="s">
        <v>52</v>
      </c>
      <c r="C147" s="3"/>
      <c r="D147" s="335"/>
      <c r="E147" s="341"/>
      <c r="F147" s="341"/>
      <c r="G147" s="341"/>
      <c r="H147" s="341"/>
      <c r="J147" s="245"/>
      <c r="K147" s="347"/>
      <c r="M147" s="245"/>
      <c r="N147" s="347"/>
    </row>
    <row r="148" spans="1:14" x14ac:dyDescent="0.25">
      <c r="A148" s="1"/>
      <c r="B148" s="204" t="s">
        <v>53</v>
      </c>
      <c r="C148" s="3"/>
      <c r="D148" s="335"/>
      <c r="E148" s="341"/>
      <c r="F148" s="341"/>
      <c r="G148" s="341"/>
      <c r="H148" s="341"/>
      <c r="J148" s="245"/>
      <c r="K148" s="347"/>
      <c r="M148" s="245"/>
      <c r="N148" s="347"/>
    </row>
    <row r="149" spans="1:14" x14ac:dyDescent="0.25">
      <c r="A149" s="1"/>
      <c r="B149" s="226" t="s">
        <v>54</v>
      </c>
      <c r="C149" s="3"/>
      <c r="D149" s="336"/>
      <c r="E149" s="342"/>
      <c r="F149" s="342"/>
      <c r="G149" s="342"/>
      <c r="H149" s="342"/>
      <c r="J149" s="247"/>
      <c r="K149" s="349"/>
      <c r="M149" s="247"/>
      <c r="N149" s="349"/>
    </row>
    <row r="150" spans="1:14" x14ac:dyDescent="0.25">
      <c r="A150" s="1"/>
      <c r="B150" s="203" t="s">
        <v>101</v>
      </c>
      <c r="C150" s="4"/>
      <c r="D150" s="335"/>
      <c r="E150" s="341"/>
      <c r="F150" s="341"/>
      <c r="G150" s="341"/>
      <c r="H150" s="341"/>
      <c r="J150" s="245"/>
      <c r="K150" s="347"/>
      <c r="M150" s="245"/>
      <c r="N150" s="347"/>
    </row>
    <row r="151" spans="1:14" x14ac:dyDescent="0.25">
      <c r="A151" s="1"/>
      <c r="B151" s="227"/>
      <c r="C151" s="4"/>
      <c r="D151" s="335"/>
      <c r="E151" s="341"/>
      <c r="F151" s="341"/>
      <c r="G151" s="341"/>
      <c r="H151" s="341"/>
      <c r="J151" s="245"/>
      <c r="K151" s="347"/>
      <c r="M151" s="245"/>
      <c r="N151" s="347"/>
    </row>
    <row r="152" spans="1:14" x14ac:dyDescent="0.25">
      <c r="A152" s="1"/>
      <c r="B152" s="203" t="s">
        <v>102</v>
      </c>
      <c r="C152" s="4"/>
      <c r="D152" s="213">
        <f>+'NOT TO USE.'!D152</f>
        <v>74300</v>
      </c>
      <c r="E152" s="311">
        <v>91024</v>
      </c>
      <c r="F152" s="311">
        <v>90030</v>
      </c>
      <c r="G152" s="311">
        <v>84803</v>
      </c>
      <c r="H152" s="311">
        <f>+'NOT TO USE.'!E152</f>
        <v>69485</v>
      </c>
      <c r="J152" s="237">
        <f>D152-E152</f>
        <v>-16724</v>
      </c>
      <c r="K152" s="347">
        <f>+J152/E152</f>
        <v>-0.18373176305150291</v>
      </c>
      <c r="M152" s="237">
        <f>E152-F152</f>
        <v>994</v>
      </c>
      <c r="N152" s="347">
        <f>+M152/F152</f>
        <v>1.1040764189714539E-2</v>
      </c>
    </row>
    <row r="153" spans="1:14" x14ac:dyDescent="0.25">
      <c r="A153" s="1"/>
      <c r="B153" s="204"/>
      <c r="C153" s="3"/>
      <c r="D153" s="335"/>
      <c r="E153" s="341"/>
      <c r="F153" s="341"/>
      <c r="G153" s="341"/>
      <c r="H153" s="341"/>
      <c r="J153" s="246">
        <f>D153-E153</f>
        <v>0</v>
      </c>
      <c r="K153" s="349" t="e">
        <f>+J153/E153</f>
        <v>#DIV/0!</v>
      </c>
      <c r="M153" s="246">
        <f>E153-F153</f>
        <v>0</v>
      </c>
      <c r="N153" s="349" t="e">
        <f>+M153/F153</f>
        <v>#DIV/0!</v>
      </c>
    </row>
    <row r="154" spans="1:14" ht="15.75" thickBot="1" x14ac:dyDescent="0.3">
      <c r="A154" s="1"/>
      <c r="B154" s="206" t="s">
        <v>55</v>
      </c>
      <c r="C154" s="4"/>
      <c r="D154" s="228">
        <f>D152</f>
        <v>74300</v>
      </c>
      <c r="E154" s="228">
        <f t="shared" ref="E154:F154" si="30">E152</f>
        <v>91024</v>
      </c>
      <c r="F154" s="228">
        <f t="shared" si="30"/>
        <v>90030</v>
      </c>
      <c r="G154" s="228">
        <v>84803</v>
      </c>
      <c r="H154" s="228">
        <f>H152</f>
        <v>69485</v>
      </c>
      <c r="J154" s="241">
        <f>D154-E154</f>
        <v>-16724</v>
      </c>
      <c r="K154" s="353">
        <f>+J154/E154</f>
        <v>-0.18373176305150291</v>
      </c>
      <c r="M154" s="241">
        <f>E154-F154</f>
        <v>994</v>
      </c>
      <c r="N154" s="353">
        <f>+M154/F154</f>
        <v>1.1040764189714539E-2</v>
      </c>
    </row>
    <row r="155" spans="1:14" ht="15.75" thickBot="1" x14ac:dyDescent="0.3">
      <c r="A155" s="1"/>
      <c r="B155" s="48"/>
      <c r="C155" s="49"/>
      <c r="D155" s="57"/>
      <c r="E155" s="57"/>
      <c r="F155" s="57"/>
      <c r="G155" s="57"/>
      <c r="H155" s="57"/>
      <c r="J155" s="57"/>
      <c r="K155" s="232"/>
      <c r="M155" s="57"/>
      <c r="N155" s="232"/>
    </row>
    <row r="156" spans="1:14" ht="15.75" thickBot="1" x14ac:dyDescent="0.3">
      <c r="A156" s="1"/>
      <c r="B156" s="208" t="s">
        <v>56</v>
      </c>
      <c r="C156" s="4"/>
      <c r="D156" s="9"/>
      <c r="E156" s="9"/>
      <c r="F156" s="9"/>
      <c r="G156" s="9"/>
      <c r="H156" s="9"/>
      <c r="J156" s="9"/>
      <c r="K156" s="357"/>
      <c r="M156" s="9"/>
      <c r="N156" s="357"/>
    </row>
    <row r="157" spans="1:14" x14ac:dyDescent="0.25">
      <c r="A157" s="1"/>
      <c r="B157" s="211" t="s">
        <v>103</v>
      </c>
      <c r="C157" s="3"/>
      <c r="D157" s="212">
        <f>+'NOT TO USE.'!D157</f>
        <v>4500</v>
      </c>
      <c r="E157" s="317">
        <v>4500</v>
      </c>
      <c r="F157" s="317">
        <v>4800</v>
      </c>
      <c r="G157" s="317">
        <v>4500</v>
      </c>
      <c r="H157" s="317">
        <f>+'NOT TO USE.'!E157</f>
        <v>4500</v>
      </c>
      <c r="J157" s="236">
        <f>D157-E157</f>
        <v>0</v>
      </c>
      <c r="K157" s="366"/>
      <c r="M157" s="236">
        <f>E157-F157</f>
        <v>-300</v>
      </c>
      <c r="N157" s="366"/>
    </row>
    <row r="158" spans="1:14" x14ac:dyDescent="0.25">
      <c r="A158" s="1"/>
      <c r="B158" s="204" t="s">
        <v>104</v>
      </c>
      <c r="C158" s="3"/>
      <c r="D158" s="213"/>
      <c r="E158" s="311"/>
      <c r="F158" s="311"/>
      <c r="G158" s="311"/>
      <c r="H158" s="311"/>
      <c r="J158" s="237">
        <f>D158-E158</f>
        <v>0</v>
      </c>
      <c r="K158" s="347"/>
      <c r="M158" s="237">
        <f>E158-F158</f>
        <v>0</v>
      </c>
      <c r="N158" s="347"/>
    </row>
    <row r="159" spans="1:14" x14ac:dyDescent="0.25">
      <c r="A159" s="1"/>
      <c r="B159" s="204" t="s">
        <v>94</v>
      </c>
      <c r="C159" s="3"/>
      <c r="D159" s="213">
        <f>+'NOT TO USE.'!D159</f>
        <v>3600</v>
      </c>
      <c r="E159" s="311"/>
      <c r="F159" s="311">
        <v>1800</v>
      </c>
      <c r="G159" s="311">
        <v>321</v>
      </c>
      <c r="H159" s="311">
        <f>+'NOT TO USE.'!E159</f>
        <v>266.5</v>
      </c>
      <c r="J159" s="246">
        <f>D159-E159</f>
        <v>3600</v>
      </c>
      <c r="K159" s="349" t="e">
        <f>+J159/E159</f>
        <v>#DIV/0!</v>
      </c>
      <c r="M159" s="246">
        <f>E159-F159</f>
        <v>-1800</v>
      </c>
      <c r="N159" s="349">
        <f>+M159/F159</f>
        <v>-1</v>
      </c>
    </row>
    <row r="160" spans="1:14" ht="15.75" thickBot="1" x14ac:dyDescent="0.3">
      <c r="A160" s="1"/>
      <c r="B160" s="206" t="s">
        <v>67</v>
      </c>
      <c r="C160" s="4"/>
      <c r="D160" s="228">
        <f>SUM(D157:D159)</f>
        <v>8100</v>
      </c>
      <c r="E160" s="343">
        <f>SUM(E157:E159)</f>
        <v>4500</v>
      </c>
      <c r="F160" s="343">
        <f>SUM(F157:F159)</f>
        <v>6600</v>
      </c>
      <c r="G160" s="343">
        <v>4821</v>
      </c>
      <c r="H160" s="343">
        <f>SUM(H157:H159)</f>
        <v>4766.5</v>
      </c>
      <c r="J160" s="242">
        <f>D160-E160</f>
        <v>3600</v>
      </c>
      <c r="K160" s="367">
        <f>+J160/E160</f>
        <v>0.8</v>
      </c>
      <c r="M160" s="242">
        <f>E160-F160</f>
        <v>-2100</v>
      </c>
      <c r="N160" s="367">
        <f>+M160/F160</f>
        <v>-0.31818181818181818</v>
      </c>
    </row>
    <row r="161" spans="1:14" ht="15.75" thickBot="1" x14ac:dyDescent="0.3">
      <c r="A161" s="1"/>
      <c r="B161" s="48"/>
      <c r="C161" s="49"/>
      <c r="D161" s="76"/>
      <c r="E161" s="76"/>
      <c r="F161" s="76"/>
      <c r="G161" s="76"/>
      <c r="H161" s="76"/>
      <c r="J161" s="76"/>
      <c r="K161" s="232"/>
      <c r="M161" s="76"/>
      <c r="N161" s="232"/>
    </row>
    <row r="162" spans="1:14" ht="15.75" thickBot="1" x14ac:dyDescent="0.3">
      <c r="A162" s="1"/>
      <c r="B162" s="208" t="s">
        <v>68</v>
      </c>
      <c r="C162" s="4"/>
      <c r="D162" s="9"/>
      <c r="E162" s="9"/>
      <c r="F162" s="9"/>
      <c r="G162" s="9"/>
      <c r="H162" s="9"/>
      <c r="J162" s="9"/>
      <c r="K162" s="357"/>
      <c r="M162" s="9"/>
      <c r="N162" s="357"/>
    </row>
    <row r="163" spans="1:14" ht="15.75" thickBot="1" x14ac:dyDescent="0.3">
      <c r="A163" s="1"/>
      <c r="B163" s="220" t="s">
        <v>69</v>
      </c>
      <c r="C163" s="4"/>
      <c r="D163" s="475">
        <f>D154+D160</f>
        <v>82400</v>
      </c>
      <c r="E163" s="217">
        <f>E154+E160</f>
        <v>95524</v>
      </c>
      <c r="F163" s="218">
        <f>F154+F160</f>
        <v>96630</v>
      </c>
      <c r="G163" s="496">
        <v>89624</v>
      </c>
      <c r="H163" s="219">
        <f>H154+H160</f>
        <v>74251.5</v>
      </c>
      <c r="J163" s="244">
        <f>D163-E163</f>
        <v>-13124</v>
      </c>
      <c r="K163" s="368">
        <f>+J163/E163</f>
        <v>-0.13738955655123319</v>
      </c>
      <c r="M163" s="244">
        <f>E163-F163</f>
        <v>-1106</v>
      </c>
      <c r="N163" s="368">
        <f>+M163/F163</f>
        <v>-1.1445720790644728E-2</v>
      </c>
    </row>
    <row r="164" spans="1:14" x14ac:dyDescent="0.25">
      <c r="A164" s="1"/>
      <c r="B164" s="2"/>
      <c r="C164" s="4"/>
      <c r="D164" s="100"/>
      <c r="E164" s="100"/>
      <c r="F164" s="100"/>
      <c r="G164" s="100"/>
      <c r="H164" s="100"/>
      <c r="J164" s="100"/>
      <c r="K164" s="233"/>
      <c r="M164" s="100"/>
      <c r="N164" s="233"/>
    </row>
    <row r="165" spans="1:14" ht="15.75" thickBot="1" x14ac:dyDescent="0.3">
      <c r="A165" s="1"/>
      <c r="B165" s="48"/>
      <c r="C165" s="49"/>
      <c r="D165" s="76"/>
      <c r="E165" s="76"/>
      <c r="F165" s="76"/>
      <c r="G165" s="76"/>
      <c r="H165" s="76"/>
      <c r="J165" s="76"/>
      <c r="K165" s="232"/>
      <c r="M165" s="76"/>
      <c r="N165" s="232"/>
    </row>
    <row r="166" spans="1:14" ht="15.75" thickBot="1" x14ac:dyDescent="0.3">
      <c r="A166" s="1"/>
      <c r="B166" s="208" t="s">
        <v>105</v>
      </c>
      <c r="C166" s="4"/>
      <c r="D166" s="101"/>
      <c r="E166" s="101"/>
      <c r="F166" s="101"/>
      <c r="G166" s="101"/>
      <c r="H166" s="101"/>
      <c r="J166" s="101"/>
      <c r="K166" s="358"/>
      <c r="M166" s="101"/>
      <c r="N166" s="358"/>
    </row>
    <row r="167" spans="1:14" ht="15.75" thickBot="1" x14ac:dyDescent="0.3">
      <c r="A167" s="1"/>
      <c r="B167" s="48"/>
      <c r="C167" s="49"/>
      <c r="D167" s="103"/>
      <c r="E167" s="103"/>
      <c r="F167" s="103"/>
      <c r="G167" s="103"/>
      <c r="H167" s="103"/>
      <c r="J167" s="103"/>
      <c r="K167" s="356"/>
      <c r="M167" s="103"/>
      <c r="N167" s="356"/>
    </row>
    <row r="168" spans="1:14" ht="15.75" thickBot="1" x14ac:dyDescent="0.3">
      <c r="A168" s="1"/>
      <c r="B168" s="209" t="s">
        <v>56</v>
      </c>
      <c r="C168" s="4"/>
      <c r="D168" s="369" t="str">
        <f>D3</f>
        <v>BUDGET 2022</v>
      </c>
      <c r="E168" s="369" t="str">
        <f t="shared" ref="E168:H168" si="31">E3</f>
        <v>ACTUAL 2023</v>
      </c>
      <c r="F168" s="369" t="str">
        <f t="shared" si="31"/>
        <v>BUDGET 2023</v>
      </c>
      <c r="G168" s="369" t="s">
        <v>282</v>
      </c>
      <c r="H168" s="416" t="str">
        <f t="shared" si="31"/>
        <v>ACTUAL 2021</v>
      </c>
      <c r="J168" s="235" t="str">
        <f>+J$3</f>
        <v>B 2022 vs Act 2021</v>
      </c>
      <c r="K168" s="372" t="str">
        <f>+K$3</f>
        <v>%</v>
      </c>
      <c r="M168" s="235" t="str">
        <f>+M$3</f>
        <v>Act 2023 vs Bud 2023</v>
      </c>
      <c r="N168" s="372" t="str">
        <f>+N$3</f>
        <v>%</v>
      </c>
    </row>
    <row r="169" spans="1:14" x14ac:dyDescent="0.25">
      <c r="A169" s="1"/>
      <c r="B169" s="204" t="s">
        <v>106</v>
      </c>
      <c r="C169" s="3"/>
      <c r="D169" s="213">
        <f>+'NOT TO USE.'!D169</f>
        <v>192000</v>
      </c>
      <c r="E169" s="311">
        <v>269621.87</v>
      </c>
      <c r="F169" s="311">
        <v>255600</v>
      </c>
      <c r="G169" s="311">
        <v>233809</v>
      </c>
      <c r="H169" s="311">
        <f>+'NOT TO USE.'!E169</f>
        <v>188395</v>
      </c>
      <c r="J169" s="237">
        <f>D169-E169</f>
        <v>-77621.87</v>
      </c>
      <c r="K169" s="347">
        <f>+J169/E169</f>
        <v>-0.28789159425383409</v>
      </c>
      <c r="M169" s="237">
        <f>E169-F169</f>
        <v>14021.869999999995</v>
      </c>
      <c r="N169" s="347">
        <f>+M169/F169</f>
        <v>5.4858646322378697E-2</v>
      </c>
    </row>
    <row r="170" spans="1:14" x14ac:dyDescent="0.25">
      <c r="A170" s="1"/>
      <c r="B170" s="204" t="s">
        <v>107</v>
      </c>
      <c r="C170" s="3"/>
      <c r="D170" s="213">
        <f>+'NOT TO USE.'!D170</f>
        <v>49000</v>
      </c>
      <c r="E170" s="311">
        <v>76319.680000000008</v>
      </c>
      <c r="F170" s="311">
        <v>52000</v>
      </c>
      <c r="G170" s="311">
        <v>55328</v>
      </c>
      <c r="H170" s="311">
        <f>+'NOT TO USE.'!E170</f>
        <v>43291</v>
      </c>
      <c r="J170" s="237">
        <f>D170-E170</f>
        <v>-27319.680000000008</v>
      </c>
      <c r="K170" s="347">
        <f>+J170/E170</f>
        <v>-0.35796376504723298</v>
      </c>
      <c r="M170" s="237">
        <f>E170-F170</f>
        <v>24319.680000000008</v>
      </c>
      <c r="N170" s="347">
        <f>+M170/F170</f>
        <v>0.46768615384615397</v>
      </c>
    </row>
    <row r="171" spans="1:14" x14ac:dyDescent="0.25">
      <c r="A171" s="1"/>
      <c r="B171" s="204" t="s">
        <v>108</v>
      </c>
      <c r="C171" s="3"/>
      <c r="D171" s="213">
        <f>+'NOT TO USE.'!D171</f>
        <v>25000</v>
      </c>
      <c r="E171" s="311">
        <v>43827.47</v>
      </c>
      <c r="F171" s="311">
        <v>50600</v>
      </c>
      <c r="G171" s="311">
        <v>48651</v>
      </c>
      <c r="H171" s="311">
        <f>+'NOT TO USE.'!E171</f>
        <v>52006</v>
      </c>
      <c r="J171" s="246">
        <f>D171-E171</f>
        <v>-18827.47</v>
      </c>
      <c r="K171" s="349">
        <f>+J171/E171</f>
        <v>-0.42958149306816024</v>
      </c>
      <c r="M171" s="246">
        <f>E171-F171</f>
        <v>-6772.5299999999988</v>
      </c>
      <c r="N171" s="349">
        <f>+M171/F171</f>
        <v>-0.13384446640316203</v>
      </c>
    </row>
    <row r="172" spans="1:14" ht="15.75" thickBot="1" x14ac:dyDescent="0.3">
      <c r="A172" s="1"/>
      <c r="B172" s="206" t="s">
        <v>67</v>
      </c>
      <c r="C172" s="4"/>
      <c r="D172" s="228">
        <f>SUM(D169:D171)</f>
        <v>266000</v>
      </c>
      <c r="E172" s="343">
        <f>SUM(E169:E171)</f>
        <v>389769.02</v>
      </c>
      <c r="F172" s="343">
        <f>SUM(F169:F171)</f>
        <v>358200</v>
      </c>
      <c r="G172" s="343">
        <v>337788</v>
      </c>
      <c r="H172" s="343">
        <f>SUM(H169:H171)</f>
        <v>283692</v>
      </c>
      <c r="J172" s="241">
        <f>D172-E172</f>
        <v>-123769.02000000002</v>
      </c>
      <c r="K172" s="353">
        <f>+J172/E172</f>
        <v>-0.31754452932149407</v>
      </c>
      <c r="M172" s="241">
        <f>E172-F172</f>
        <v>31569.020000000019</v>
      </c>
      <c r="N172" s="353">
        <f>+M172/F172</f>
        <v>8.8132384142936962E-2</v>
      </c>
    </row>
    <row r="173" spans="1:14" x14ac:dyDescent="0.25">
      <c r="A173" s="1"/>
      <c r="B173" s="48"/>
      <c r="C173" s="49"/>
      <c r="D173" s="76"/>
      <c r="E173" s="76"/>
      <c r="F173" s="76"/>
      <c r="G173" s="76"/>
      <c r="H173" s="76"/>
      <c r="J173" s="76"/>
      <c r="K173" s="232"/>
      <c r="M173" s="76"/>
      <c r="N173" s="232"/>
    </row>
  </sheetData>
  <pageMargins left="0.11811023622047245" right="0.11811023622047245" top="0.15748031496062992" bottom="0.15748031496062992" header="0.31496062992125984" footer="0.31496062992125984"/>
  <pageSetup scale="80" orientation="portrait" r:id="rId1"/>
  <rowBreaks count="1" manualBreakCount="1">
    <brk id="12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1EBDC-A5C8-4396-B020-92C17E53681B}">
  <sheetPr>
    <pageSetUpPr fitToPage="1"/>
  </sheetPr>
  <dimension ref="B2:F45"/>
  <sheetViews>
    <sheetView workbookViewId="0">
      <pane ySplit="6" topLeftCell="A7" activePane="bottomLeft" state="frozen"/>
      <selection pane="bottomLeft" activeCell="E30" sqref="E30:E31"/>
    </sheetView>
  </sheetViews>
  <sheetFormatPr defaultRowHeight="15" x14ac:dyDescent="0.25"/>
  <cols>
    <col min="2" max="2" width="51.7109375" customWidth="1"/>
    <col min="3" max="4" width="11.7109375" customWidth="1"/>
    <col min="5" max="5" width="22.28515625" customWidth="1"/>
    <col min="6" max="6" width="16" customWidth="1"/>
  </cols>
  <sheetData>
    <row r="2" spans="2:6" x14ac:dyDescent="0.25">
      <c r="B2" s="668" t="s">
        <v>558</v>
      </c>
    </row>
    <row r="3" spans="2:6" x14ac:dyDescent="0.25">
      <c r="B3" s="668" t="s">
        <v>530</v>
      </c>
    </row>
    <row r="4" spans="2:6" x14ac:dyDescent="0.25">
      <c r="C4" s="669" t="s">
        <v>531</v>
      </c>
      <c r="D4" s="669" t="s">
        <v>532</v>
      </c>
    </row>
    <row r="5" spans="2:6" x14ac:dyDescent="0.25">
      <c r="C5" s="669" t="s">
        <v>533</v>
      </c>
      <c r="D5" s="669" t="s">
        <v>533</v>
      </c>
    </row>
    <row r="6" spans="2:6" ht="15.75" thickBot="1" x14ac:dyDescent="0.3">
      <c r="B6" s="670" t="s">
        <v>534</v>
      </c>
      <c r="C6" s="671" t="s">
        <v>535</v>
      </c>
      <c r="D6" s="671" t="s">
        <v>535</v>
      </c>
    </row>
    <row r="7" spans="2:6" x14ac:dyDescent="0.25">
      <c r="B7" t="s">
        <v>536</v>
      </c>
      <c r="C7" s="436">
        <f>40719</f>
        <v>40719</v>
      </c>
      <c r="D7" s="436"/>
    </row>
    <row r="8" spans="2:6" x14ac:dyDescent="0.25">
      <c r="B8" t="s">
        <v>538</v>
      </c>
      <c r="C8" s="436">
        <f>6346+8503+5974-1637+17</f>
        <v>19203</v>
      </c>
      <c r="D8" s="436"/>
    </row>
    <row r="9" spans="2:6" x14ac:dyDescent="0.25">
      <c r="B9" t="s">
        <v>537</v>
      </c>
      <c r="D9" s="436">
        <f>-712+1357-3059</f>
        <v>-2414</v>
      </c>
    </row>
    <row r="10" spans="2:6" x14ac:dyDescent="0.25">
      <c r="C10" s="436"/>
      <c r="D10" s="436"/>
    </row>
    <row r="11" spans="2:6" x14ac:dyDescent="0.25">
      <c r="B11" s="427" t="s">
        <v>539</v>
      </c>
      <c r="C11" s="672">
        <f>SUM(C7:C9)</f>
        <v>59922</v>
      </c>
      <c r="D11" s="672">
        <f>SUM(D7:D9)</f>
        <v>-2414</v>
      </c>
      <c r="F11" s="436"/>
    </row>
    <row r="12" spans="2:6" x14ac:dyDescent="0.25">
      <c r="C12" s="436">
        <f>D11+C11</f>
        <v>57508</v>
      </c>
    </row>
    <row r="13" spans="2:6" x14ac:dyDescent="0.25">
      <c r="C13" s="436"/>
      <c r="D13" s="436"/>
    </row>
    <row r="14" spans="2:6" ht="15.75" thickBot="1" x14ac:dyDescent="0.3">
      <c r="B14" s="670" t="s">
        <v>540</v>
      </c>
      <c r="C14" s="671"/>
      <c r="D14" s="671"/>
    </row>
    <row r="15" spans="2:6" x14ac:dyDescent="0.25">
      <c r="B15" t="s">
        <v>562</v>
      </c>
      <c r="C15" s="436">
        <v>-18296</v>
      </c>
      <c r="F15" s="436"/>
    </row>
    <row r="16" spans="2:6" x14ac:dyDescent="0.25">
      <c r="B16" t="s">
        <v>564</v>
      </c>
      <c r="C16" s="436">
        <v>-12523</v>
      </c>
    </row>
    <row r="17" spans="2:6" x14ac:dyDescent="0.25">
      <c r="B17" t="s">
        <v>549</v>
      </c>
      <c r="C17" s="436">
        <v>-10615</v>
      </c>
    </row>
    <row r="18" spans="2:6" ht="13.9" customHeight="1" x14ac:dyDescent="0.25">
      <c r="B18" t="s">
        <v>565</v>
      </c>
      <c r="C18" s="436">
        <f>(6+10426-1194+392-19843+223)</f>
        <v>-9990</v>
      </c>
      <c r="F18" s="436"/>
    </row>
    <row r="19" spans="2:6" ht="13.9" customHeight="1" x14ac:dyDescent="0.25">
      <c r="B19" t="s">
        <v>541</v>
      </c>
      <c r="C19" s="436">
        <f>(22287-31158)</f>
        <v>-8871</v>
      </c>
      <c r="F19" s="436"/>
    </row>
    <row r="20" spans="2:6" ht="13.9" customHeight="1" x14ac:dyDescent="0.25">
      <c r="B20" t="s">
        <v>570</v>
      </c>
      <c r="C20" s="436">
        <v>-6773</v>
      </c>
      <c r="F20" s="436"/>
    </row>
    <row r="21" spans="2:6" ht="13.9" customHeight="1" x14ac:dyDescent="0.25">
      <c r="B21" t="s">
        <v>547</v>
      </c>
      <c r="C21" s="436">
        <v>-5332</v>
      </c>
      <c r="F21" s="436"/>
    </row>
    <row r="22" spans="2:6" ht="13.9" customHeight="1" x14ac:dyDescent="0.25">
      <c r="B22" t="s">
        <v>97</v>
      </c>
      <c r="C22" s="436">
        <v>-4768</v>
      </c>
      <c r="F22" s="436"/>
    </row>
    <row r="23" spans="2:6" ht="13.9" customHeight="1" x14ac:dyDescent="0.25">
      <c r="B23" t="s">
        <v>548</v>
      </c>
      <c r="C23" s="436">
        <v>-3439</v>
      </c>
      <c r="F23" s="436"/>
    </row>
    <row r="24" spans="2:6" ht="13.9" customHeight="1" x14ac:dyDescent="0.25">
      <c r="B24" t="s">
        <v>571</v>
      </c>
      <c r="C24" s="436">
        <v>-2778</v>
      </c>
      <c r="F24" s="436"/>
    </row>
    <row r="25" spans="2:6" ht="13.9" customHeight="1" x14ac:dyDescent="0.25">
      <c r="B25" t="s">
        <v>568</v>
      </c>
      <c r="C25" s="436">
        <f>-4859/2</f>
        <v>-2429.5</v>
      </c>
      <c r="F25" s="436"/>
    </row>
    <row r="26" spans="2:6" ht="13.9" customHeight="1" x14ac:dyDescent="0.25">
      <c r="B26" t="s">
        <v>555</v>
      </c>
      <c r="C26" s="436">
        <v>-1159</v>
      </c>
      <c r="F26" s="436"/>
    </row>
    <row r="27" spans="2:6" ht="13.9" customHeight="1" x14ac:dyDescent="0.25">
      <c r="B27" t="s">
        <v>569</v>
      </c>
      <c r="C27" s="436">
        <v>-1106</v>
      </c>
      <c r="F27" s="436"/>
    </row>
    <row r="28" spans="2:6" x14ac:dyDescent="0.25">
      <c r="B28" t="s">
        <v>542</v>
      </c>
      <c r="D28" s="436">
        <f>((48988+1084+13187)/2)</f>
        <v>31629.5</v>
      </c>
    </row>
    <row r="29" spans="2:6" x14ac:dyDescent="0.25">
      <c r="B29" t="s">
        <v>566</v>
      </c>
      <c r="D29" s="436">
        <v>29004</v>
      </c>
    </row>
    <row r="30" spans="2:6" x14ac:dyDescent="0.25">
      <c r="B30" t="s">
        <v>107</v>
      </c>
      <c r="D30" s="436">
        <v>24320</v>
      </c>
      <c r="E30" s="677" t="s">
        <v>572</v>
      </c>
      <c r="F30" s="436"/>
    </row>
    <row r="31" spans="2:6" x14ac:dyDescent="0.25">
      <c r="B31" t="s">
        <v>552</v>
      </c>
      <c r="D31" s="436">
        <f>41772/2</f>
        <v>20886</v>
      </c>
      <c r="E31" s="677" t="s">
        <v>573</v>
      </c>
      <c r="F31" s="436"/>
    </row>
    <row r="32" spans="2:6" x14ac:dyDescent="0.25">
      <c r="B32" t="s">
        <v>567</v>
      </c>
      <c r="D32" s="436">
        <f>(46949-29004)</f>
        <v>17945</v>
      </c>
      <c r="F32" s="436"/>
    </row>
    <row r="33" spans="2:6" x14ac:dyDescent="0.25">
      <c r="B33" t="s">
        <v>106</v>
      </c>
      <c r="D33" s="436">
        <v>14022</v>
      </c>
      <c r="F33" s="436"/>
    </row>
    <row r="34" spans="2:6" x14ac:dyDescent="0.25">
      <c r="B34" t="s">
        <v>563</v>
      </c>
      <c r="D34" s="436">
        <v>4542</v>
      </c>
      <c r="F34" s="436"/>
    </row>
    <row r="35" spans="2:6" x14ac:dyDescent="0.25">
      <c r="B35" t="s">
        <v>538</v>
      </c>
      <c r="D35" s="436">
        <f>(320+121+4-(986/2)-(1200/2)+1342)</f>
        <v>694</v>
      </c>
      <c r="E35" s="436"/>
      <c r="F35" s="436"/>
    </row>
    <row r="36" spans="2:6" x14ac:dyDescent="0.25">
      <c r="C36" s="436"/>
      <c r="D36" s="436"/>
    </row>
    <row r="37" spans="2:6" x14ac:dyDescent="0.25">
      <c r="B37" s="427" t="s">
        <v>556</v>
      </c>
      <c r="C37" s="672">
        <f>SUM(C15:C35)</f>
        <v>-88079.5</v>
      </c>
      <c r="D37" s="672">
        <f>SUM(D15:D35)</f>
        <v>143042.5</v>
      </c>
      <c r="F37" s="436"/>
    </row>
    <row r="38" spans="2:6" x14ac:dyDescent="0.25">
      <c r="D38" s="436">
        <f>C37+D37</f>
        <v>54963</v>
      </c>
    </row>
    <row r="39" spans="2:6" x14ac:dyDescent="0.25">
      <c r="C39" s="436"/>
      <c r="D39" s="436"/>
    </row>
    <row r="40" spans="2:6" x14ac:dyDescent="0.25">
      <c r="B40" s="427" t="s">
        <v>557</v>
      </c>
      <c r="C40" s="672">
        <f>C12-D38</f>
        <v>2545</v>
      </c>
      <c r="D40" s="672"/>
      <c r="F40" s="436"/>
    </row>
    <row r="41" spans="2:6" x14ac:dyDescent="0.25">
      <c r="C41" s="436"/>
      <c r="D41" s="436"/>
    </row>
    <row r="42" spans="2:6" x14ac:dyDescent="0.25">
      <c r="C42" s="436"/>
      <c r="D42" s="436"/>
    </row>
    <row r="43" spans="2:6" x14ac:dyDescent="0.25">
      <c r="C43" s="436"/>
      <c r="D43" s="436"/>
    </row>
    <row r="44" spans="2:6" x14ac:dyDescent="0.25">
      <c r="C44" s="436"/>
      <c r="D44" s="436"/>
    </row>
    <row r="45" spans="2:6" x14ac:dyDescent="0.25">
      <c r="C45" s="436"/>
      <c r="D45" s="436"/>
    </row>
  </sheetData>
  <sortState xmlns:xlrd2="http://schemas.microsoft.com/office/spreadsheetml/2017/richdata2" ref="B28:D35">
    <sortCondition descending="1" ref="D28:D35"/>
  </sortState>
  <pageMargins left="0.7" right="0.7" top="0.75" bottom="0.75" header="0.3" footer="0.3"/>
  <pageSetup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A1445-C193-40C3-990B-EBD29608372B}">
  <dimension ref="A1:N65"/>
  <sheetViews>
    <sheetView zoomScaleNormal="100" workbookViewId="0">
      <selection activeCell="A2" sqref="A2"/>
    </sheetView>
  </sheetViews>
  <sheetFormatPr defaultColWidth="9.140625" defaultRowHeight="15" x14ac:dyDescent="0.2"/>
  <cols>
    <col min="1" max="1" width="12.7109375" style="373" customWidth="1"/>
    <col min="2" max="2" width="43.42578125" style="373" customWidth="1"/>
    <col min="3" max="3" width="14.7109375" style="373" hidden="1" customWidth="1"/>
    <col min="4" max="4" width="16.28515625" style="373" hidden="1" customWidth="1"/>
    <col min="5" max="5" width="19.42578125" style="373" hidden="1" customWidth="1"/>
    <col min="6" max="7" width="14.7109375" style="500" customWidth="1"/>
    <col min="8" max="8" width="27.85546875" style="374" customWidth="1"/>
    <col min="9" max="9" width="15.5703125" style="374" customWidth="1"/>
    <col min="10" max="256" width="9.140625" style="374"/>
    <col min="257" max="257" width="12.7109375" style="374" customWidth="1"/>
    <col min="258" max="258" width="43.42578125" style="374" customWidth="1"/>
    <col min="259" max="261" width="0" style="374" hidden="1" customWidth="1"/>
    <col min="262" max="263" width="14.7109375" style="374" customWidth="1"/>
    <col min="264" max="264" width="27.85546875" style="374" customWidth="1"/>
    <col min="265" max="265" width="15.5703125" style="374" customWidth="1"/>
    <col min="266" max="512" width="9.140625" style="374"/>
    <col min="513" max="513" width="12.7109375" style="374" customWidth="1"/>
    <col min="514" max="514" width="43.42578125" style="374" customWidth="1"/>
    <col min="515" max="517" width="0" style="374" hidden="1" customWidth="1"/>
    <col min="518" max="519" width="14.7109375" style="374" customWidth="1"/>
    <col min="520" max="520" width="27.85546875" style="374" customWidth="1"/>
    <col min="521" max="521" width="15.5703125" style="374" customWidth="1"/>
    <col min="522" max="768" width="9.140625" style="374"/>
    <col min="769" max="769" width="12.7109375" style="374" customWidth="1"/>
    <col min="770" max="770" width="43.42578125" style="374" customWidth="1"/>
    <col min="771" max="773" width="0" style="374" hidden="1" customWidth="1"/>
    <col min="774" max="775" width="14.7109375" style="374" customWidth="1"/>
    <col min="776" max="776" width="27.85546875" style="374" customWidth="1"/>
    <col min="777" max="777" width="15.5703125" style="374" customWidth="1"/>
    <col min="778" max="1024" width="9.140625" style="374"/>
    <col min="1025" max="1025" width="12.7109375" style="374" customWidth="1"/>
    <col min="1026" max="1026" width="43.42578125" style="374" customWidth="1"/>
    <col min="1027" max="1029" width="0" style="374" hidden="1" customWidth="1"/>
    <col min="1030" max="1031" width="14.7109375" style="374" customWidth="1"/>
    <col min="1032" max="1032" width="27.85546875" style="374" customWidth="1"/>
    <col min="1033" max="1033" width="15.5703125" style="374" customWidth="1"/>
    <col min="1034" max="1280" width="9.140625" style="374"/>
    <col min="1281" max="1281" width="12.7109375" style="374" customWidth="1"/>
    <col min="1282" max="1282" width="43.42578125" style="374" customWidth="1"/>
    <col min="1283" max="1285" width="0" style="374" hidden="1" customWidth="1"/>
    <col min="1286" max="1287" width="14.7109375" style="374" customWidth="1"/>
    <col min="1288" max="1288" width="27.85546875" style="374" customWidth="1"/>
    <col min="1289" max="1289" width="15.5703125" style="374" customWidth="1"/>
    <col min="1290" max="1536" width="9.140625" style="374"/>
    <col min="1537" max="1537" width="12.7109375" style="374" customWidth="1"/>
    <col min="1538" max="1538" width="43.42578125" style="374" customWidth="1"/>
    <col min="1539" max="1541" width="0" style="374" hidden="1" customWidth="1"/>
    <col min="1542" max="1543" width="14.7109375" style="374" customWidth="1"/>
    <col min="1544" max="1544" width="27.85546875" style="374" customWidth="1"/>
    <col min="1545" max="1545" width="15.5703125" style="374" customWidth="1"/>
    <col min="1546" max="1792" width="9.140625" style="374"/>
    <col min="1793" max="1793" width="12.7109375" style="374" customWidth="1"/>
    <col min="1794" max="1794" width="43.42578125" style="374" customWidth="1"/>
    <col min="1795" max="1797" width="0" style="374" hidden="1" customWidth="1"/>
    <col min="1798" max="1799" width="14.7109375" style="374" customWidth="1"/>
    <col min="1800" max="1800" width="27.85546875" style="374" customWidth="1"/>
    <col min="1801" max="1801" width="15.5703125" style="374" customWidth="1"/>
    <col min="1802" max="2048" width="9.140625" style="374"/>
    <col min="2049" max="2049" width="12.7109375" style="374" customWidth="1"/>
    <col min="2050" max="2050" width="43.42578125" style="374" customWidth="1"/>
    <col min="2051" max="2053" width="0" style="374" hidden="1" customWidth="1"/>
    <col min="2054" max="2055" width="14.7109375" style="374" customWidth="1"/>
    <col min="2056" max="2056" width="27.85546875" style="374" customWidth="1"/>
    <col min="2057" max="2057" width="15.5703125" style="374" customWidth="1"/>
    <col min="2058" max="2304" width="9.140625" style="374"/>
    <col min="2305" max="2305" width="12.7109375" style="374" customWidth="1"/>
    <col min="2306" max="2306" width="43.42578125" style="374" customWidth="1"/>
    <col min="2307" max="2309" width="0" style="374" hidden="1" customWidth="1"/>
    <col min="2310" max="2311" width="14.7109375" style="374" customWidth="1"/>
    <col min="2312" max="2312" width="27.85546875" style="374" customWidth="1"/>
    <col min="2313" max="2313" width="15.5703125" style="374" customWidth="1"/>
    <col min="2314" max="2560" width="9.140625" style="374"/>
    <col min="2561" max="2561" width="12.7109375" style="374" customWidth="1"/>
    <col min="2562" max="2562" width="43.42578125" style="374" customWidth="1"/>
    <col min="2563" max="2565" width="0" style="374" hidden="1" customWidth="1"/>
    <col min="2566" max="2567" width="14.7109375" style="374" customWidth="1"/>
    <col min="2568" max="2568" width="27.85546875" style="374" customWidth="1"/>
    <col min="2569" max="2569" width="15.5703125" style="374" customWidth="1"/>
    <col min="2570" max="2816" width="9.140625" style="374"/>
    <col min="2817" max="2817" width="12.7109375" style="374" customWidth="1"/>
    <col min="2818" max="2818" width="43.42578125" style="374" customWidth="1"/>
    <col min="2819" max="2821" width="0" style="374" hidden="1" customWidth="1"/>
    <col min="2822" max="2823" width="14.7109375" style="374" customWidth="1"/>
    <col min="2824" max="2824" width="27.85546875" style="374" customWidth="1"/>
    <col min="2825" max="2825" width="15.5703125" style="374" customWidth="1"/>
    <col min="2826" max="3072" width="9.140625" style="374"/>
    <col min="3073" max="3073" width="12.7109375" style="374" customWidth="1"/>
    <col min="3074" max="3074" width="43.42578125" style="374" customWidth="1"/>
    <col min="3075" max="3077" width="0" style="374" hidden="1" customWidth="1"/>
    <col min="3078" max="3079" width="14.7109375" style="374" customWidth="1"/>
    <col min="3080" max="3080" width="27.85546875" style="374" customWidth="1"/>
    <col min="3081" max="3081" width="15.5703125" style="374" customWidth="1"/>
    <col min="3082" max="3328" width="9.140625" style="374"/>
    <col min="3329" max="3329" width="12.7109375" style="374" customWidth="1"/>
    <col min="3330" max="3330" width="43.42578125" style="374" customWidth="1"/>
    <col min="3331" max="3333" width="0" style="374" hidden="1" customWidth="1"/>
    <col min="3334" max="3335" width="14.7109375" style="374" customWidth="1"/>
    <col min="3336" max="3336" width="27.85546875" style="374" customWidth="1"/>
    <col min="3337" max="3337" width="15.5703125" style="374" customWidth="1"/>
    <col min="3338" max="3584" width="9.140625" style="374"/>
    <col min="3585" max="3585" width="12.7109375" style="374" customWidth="1"/>
    <col min="3586" max="3586" width="43.42578125" style="374" customWidth="1"/>
    <col min="3587" max="3589" width="0" style="374" hidden="1" customWidth="1"/>
    <col min="3590" max="3591" width="14.7109375" style="374" customWidth="1"/>
    <col min="3592" max="3592" width="27.85546875" style="374" customWidth="1"/>
    <col min="3593" max="3593" width="15.5703125" style="374" customWidth="1"/>
    <col min="3594" max="3840" width="9.140625" style="374"/>
    <col min="3841" max="3841" width="12.7109375" style="374" customWidth="1"/>
    <col min="3842" max="3842" width="43.42578125" style="374" customWidth="1"/>
    <col min="3843" max="3845" width="0" style="374" hidden="1" customWidth="1"/>
    <col min="3846" max="3847" width="14.7109375" style="374" customWidth="1"/>
    <col min="3848" max="3848" width="27.85546875" style="374" customWidth="1"/>
    <col min="3849" max="3849" width="15.5703125" style="374" customWidth="1"/>
    <col min="3850" max="4096" width="9.140625" style="374"/>
    <col min="4097" max="4097" width="12.7109375" style="374" customWidth="1"/>
    <col min="4098" max="4098" width="43.42578125" style="374" customWidth="1"/>
    <col min="4099" max="4101" width="0" style="374" hidden="1" customWidth="1"/>
    <col min="4102" max="4103" width="14.7109375" style="374" customWidth="1"/>
    <col min="4104" max="4104" width="27.85546875" style="374" customWidth="1"/>
    <col min="4105" max="4105" width="15.5703125" style="374" customWidth="1"/>
    <col min="4106" max="4352" width="9.140625" style="374"/>
    <col min="4353" max="4353" width="12.7109375" style="374" customWidth="1"/>
    <col min="4354" max="4354" width="43.42578125" style="374" customWidth="1"/>
    <col min="4355" max="4357" width="0" style="374" hidden="1" customWidth="1"/>
    <col min="4358" max="4359" width="14.7109375" style="374" customWidth="1"/>
    <col min="4360" max="4360" width="27.85546875" style="374" customWidth="1"/>
    <col min="4361" max="4361" width="15.5703125" style="374" customWidth="1"/>
    <col min="4362" max="4608" width="9.140625" style="374"/>
    <col min="4609" max="4609" width="12.7109375" style="374" customWidth="1"/>
    <col min="4610" max="4610" width="43.42578125" style="374" customWidth="1"/>
    <col min="4611" max="4613" width="0" style="374" hidden="1" customWidth="1"/>
    <col min="4614" max="4615" width="14.7109375" style="374" customWidth="1"/>
    <col min="4616" max="4616" width="27.85546875" style="374" customWidth="1"/>
    <col min="4617" max="4617" width="15.5703125" style="374" customWidth="1"/>
    <col min="4618" max="4864" width="9.140625" style="374"/>
    <col min="4865" max="4865" width="12.7109375" style="374" customWidth="1"/>
    <col min="4866" max="4866" width="43.42578125" style="374" customWidth="1"/>
    <col min="4867" max="4869" width="0" style="374" hidden="1" customWidth="1"/>
    <col min="4870" max="4871" width="14.7109375" style="374" customWidth="1"/>
    <col min="4872" max="4872" width="27.85546875" style="374" customWidth="1"/>
    <col min="4873" max="4873" width="15.5703125" style="374" customWidth="1"/>
    <col min="4874" max="5120" width="9.140625" style="374"/>
    <col min="5121" max="5121" width="12.7109375" style="374" customWidth="1"/>
    <col min="5122" max="5122" width="43.42578125" style="374" customWidth="1"/>
    <col min="5123" max="5125" width="0" style="374" hidden="1" customWidth="1"/>
    <col min="5126" max="5127" width="14.7109375" style="374" customWidth="1"/>
    <col min="5128" max="5128" width="27.85546875" style="374" customWidth="1"/>
    <col min="5129" max="5129" width="15.5703125" style="374" customWidth="1"/>
    <col min="5130" max="5376" width="9.140625" style="374"/>
    <col min="5377" max="5377" width="12.7109375" style="374" customWidth="1"/>
    <col min="5378" max="5378" width="43.42578125" style="374" customWidth="1"/>
    <col min="5379" max="5381" width="0" style="374" hidden="1" customWidth="1"/>
    <col min="5382" max="5383" width="14.7109375" style="374" customWidth="1"/>
    <col min="5384" max="5384" width="27.85546875" style="374" customWidth="1"/>
    <col min="5385" max="5385" width="15.5703125" style="374" customWidth="1"/>
    <col min="5386" max="5632" width="9.140625" style="374"/>
    <col min="5633" max="5633" width="12.7109375" style="374" customWidth="1"/>
    <col min="5634" max="5634" width="43.42578125" style="374" customWidth="1"/>
    <col min="5635" max="5637" width="0" style="374" hidden="1" customWidth="1"/>
    <col min="5638" max="5639" width="14.7109375" style="374" customWidth="1"/>
    <col min="5640" max="5640" width="27.85546875" style="374" customWidth="1"/>
    <col min="5641" max="5641" width="15.5703125" style="374" customWidth="1"/>
    <col min="5642" max="5888" width="9.140625" style="374"/>
    <col min="5889" max="5889" width="12.7109375" style="374" customWidth="1"/>
    <col min="5890" max="5890" width="43.42578125" style="374" customWidth="1"/>
    <col min="5891" max="5893" width="0" style="374" hidden="1" customWidth="1"/>
    <col min="5894" max="5895" width="14.7109375" style="374" customWidth="1"/>
    <col min="5896" max="5896" width="27.85546875" style="374" customWidth="1"/>
    <col min="5897" max="5897" width="15.5703125" style="374" customWidth="1"/>
    <col min="5898" max="6144" width="9.140625" style="374"/>
    <col min="6145" max="6145" width="12.7109375" style="374" customWidth="1"/>
    <col min="6146" max="6146" width="43.42578125" style="374" customWidth="1"/>
    <col min="6147" max="6149" width="0" style="374" hidden="1" customWidth="1"/>
    <col min="6150" max="6151" width="14.7109375" style="374" customWidth="1"/>
    <col min="6152" max="6152" width="27.85546875" style="374" customWidth="1"/>
    <col min="6153" max="6153" width="15.5703125" style="374" customWidth="1"/>
    <col min="6154" max="6400" width="9.140625" style="374"/>
    <col min="6401" max="6401" width="12.7109375" style="374" customWidth="1"/>
    <col min="6402" max="6402" width="43.42578125" style="374" customWidth="1"/>
    <col min="6403" max="6405" width="0" style="374" hidden="1" customWidth="1"/>
    <col min="6406" max="6407" width="14.7109375" style="374" customWidth="1"/>
    <col min="6408" max="6408" width="27.85546875" style="374" customWidth="1"/>
    <col min="6409" max="6409" width="15.5703125" style="374" customWidth="1"/>
    <col min="6410" max="6656" width="9.140625" style="374"/>
    <col min="6657" max="6657" width="12.7109375" style="374" customWidth="1"/>
    <col min="6658" max="6658" width="43.42578125" style="374" customWidth="1"/>
    <col min="6659" max="6661" width="0" style="374" hidden="1" customWidth="1"/>
    <col min="6662" max="6663" width="14.7109375" style="374" customWidth="1"/>
    <col min="6664" max="6664" width="27.85546875" style="374" customWidth="1"/>
    <col min="6665" max="6665" width="15.5703125" style="374" customWidth="1"/>
    <col min="6666" max="6912" width="9.140625" style="374"/>
    <col min="6913" max="6913" width="12.7109375" style="374" customWidth="1"/>
    <col min="6914" max="6914" width="43.42578125" style="374" customWidth="1"/>
    <col min="6915" max="6917" width="0" style="374" hidden="1" customWidth="1"/>
    <col min="6918" max="6919" width="14.7109375" style="374" customWidth="1"/>
    <col min="6920" max="6920" width="27.85546875" style="374" customWidth="1"/>
    <col min="6921" max="6921" width="15.5703125" style="374" customWidth="1"/>
    <col min="6922" max="7168" width="9.140625" style="374"/>
    <col min="7169" max="7169" width="12.7109375" style="374" customWidth="1"/>
    <col min="7170" max="7170" width="43.42578125" style="374" customWidth="1"/>
    <col min="7171" max="7173" width="0" style="374" hidden="1" customWidth="1"/>
    <col min="7174" max="7175" width="14.7109375" style="374" customWidth="1"/>
    <col min="7176" max="7176" width="27.85546875" style="374" customWidth="1"/>
    <col min="7177" max="7177" width="15.5703125" style="374" customWidth="1"/>
    <col min="7178" max="7424" width="9.140625" style="374"/>
    <col min="7425" max="7425" width="12.7109375" style="374" customWidth="1"/>
    <col min="7426" max="7426" width="43.42578125" style="374" customWidth="1"/>
    <col min="7427" max="7429" width="0" style="374" hidden="1" customWidth="1"/>
    <col min="7430" max="7431" width="14.7109375" style="374" customWidth="1"/>
    <col min="7432" max="7432" width="27.85546875" style="374" customWidth="1"/>
    <col min="7433" max="7433" width="15.5703125" style="374" customWidth="1"/>
    <col min="7434" max="7680" width="9.140625" style="374"/>
    <col min="7681" max="7681" width="12.7109375" style="374" customWidth="1"/>
    <col min="7682" max="7682" width="43.42578125" style="374" customWidth="1"/>
    <col min="7683" max="7685" width="0" style="374" hidden="1" customWidth="1"/>
    <col min="7686" max="7687" width="14.7109375" style="374" customWidth="1"/>
    <col min="7688" max="7688" width="27.85546875" style="374" customWidth="1"/>
    <col min="7689" max="7689" width="15.5703125" style="374" customWidth="1"/>
    <col min="7690" max="7936" width="9.140625" style="374"/>
    <col min="7937" max="7937" width="12.7109375" style="374" customWidth="1"/>
    <col min="7938" max="7938" width="43.42578125" style="374" customWidth="1"/>
    <col min="7939" max="7941" width="0" style="374" hidden="1" customWidth="1"/>
    <col min="7942" max="7943" width="14.7109375" style="374" customWidth="1"/>
    <col min="7944" max="7944" width="27.85546875" style="374" customWidth="1"/>
    <col min="7945" max="7945" width="15.5703125" style="374" customWidth="1"/>
    <col min="7946" max="8192" width="9.140625" style="374"/>
    <col min="8193" max="8193" width="12.7109375" style="374" customWidth="1"/>
    <col min="8194" max="8194" width="43.42578125" style="374" customWidth="1"/>
    <col min="8195" max="8197" width="0" style="374" hidden="1" customWidth="1"/>
    <col min="8198" max="8199" width="14.7109375" style="374" customWidth="1"/>
    <col min="8200" max="8200" width="27.85546875" style="374" customWidth="1"/>
    <col min="8201" max="8201" width="15.5703125" style="374" customWidth="1"/>
    <col min="8202" max="8448" width="9.140625" style="374"/>
    <col min="8449" max="8449" width="12.7109375" style="374" customWidth="1"/>
    <col min="8450" max="8450" width="43.42578125" style="374" customWidth="1"/>
    <col min="8451" max="8453" width="0" style="374" hidden="1" customWidth="1"/>
    <col min="8454" max="8455" width="14.7109375" style="374" customWidth="1"/>
    <col min="8456" max="8456" width="27.85546875" style="374" customWidth="1"/>
    <col min="8457" max="8457" width="15.5703125" style="374" customWidth="1"/>
    <col min="8458" max="8704" width="9.140625" style="374"/>
    <col min="8705" max="8705" width="12.7109375" style="374" customWidth="1"/>
    <col min="8706" max="8706" width="43.42578125" style="374" customWidth="1"/>
    <col min="8707" max="8709" width="0" style="374" hidden="1" customWidth="1"/>
    <col min="8710" max="8711" width="14.7109375" style="374" customWidth="1"/>
    <col min="8712" max="8712" width="27.85546875" style="374" customWidth="1"/>
    <col min="8713" max="8713" width="15.5703125" style="374" customWidth="1"/>
    <col min="8714" max="8960" width="9.140625" style="374"/>
    <col min="8961" max="8961" width="12.7109375" style="374" customWidth="1"/>
    <col min="8962" max="8962" width="43.42578125" style="374" customWidth="1"/>
    <col min="8963" max="8965" width="0" style="374" hidden="1" customWidth="1"/>
    <col min="8966" max="8967" width="14.7109375" style="374" customWidth="1"/>
    <col min="8968" max="8968" width="27.85546875" style="374" customWidth="1"/>
    <col min="8969" max="8969" width="15.5703125" style="374" customWidth="1"/>
    <col min="8970" max="9216" width="9.140625" style="374"/>
    <col min="9217" max="9217" width="12.7109375" style="374" customWidth="1"/>
    <col min="9218" max="9218" width="43.42578125" style="374" customWidth="1"/>
    <col min="9219" max="9221" width="0" style="374" hidden="1" customWidth="1"/>
    <col min="9222" max="9223" width="14.7109375" style="374" customWidth="1"/>
    <col min="9224" max="9224" width="27.85546875" style="374" customWidth="1"/>
    <col min="9225" max="9225" width="15.5703125" style="374" customWidth="1"/>
    <col min="9226" max="9472" width="9.140625" style="374"/>
    <col min="9473" max="9473" width="12.7109375" style="374" customWidth="1"/>
    <col min="9474" max="9474" width="43.42578125" style="374" customWidth="1"/>
    <col min="9475" max="9477" width="0" style="374" hidden="1" customWidth="1"/>
    <col min="9478" max="9479" width="14.7109375" style="374" customWidth="1"/>
    <col min="9480" max="9480" width="27.85546875" style="374" customWidth="1"/>
    <col min="9481" max="9481" width="15.5703125" style="374" customWidth="1"/>
    <col min="9482" max="9728" width="9.140625" style="374"/>
    <col min="9729" max="9729" width="12.7109375" style="374" customWidth="1"/>
    <col min="9730" max="9730" width="43.42578125" style="374" customWidth="1"/>
    <col min="9731" max="9733" width="0" style="374" hidden="1" customWidth="1"/>
    <col min="9734" max="9735" width="14.7109375" style="374" customWidth="1"/>
    <col min="9736" max="9736" width="27.85546875" style="374" customWidth="1"/>
    <col min="9737" max="9737" width="15.5703125" style="374" customWidth="1"/>
    <col min="9738" max="9984" width="9.140625" style="374"/>
    <col min="9985" max="9985" width="12.7109375" style="374" customWidth="1"/>
    <col min="9986" max="9986" width="43.42578125" style="374" customWidth="1"/>
    <col min="9987" max="9989" width="0" style="374" hidden="1" customWidth="1"/>
    <col min="9990" max="9991" width="14.7109375" style="374" customWidth="1"/>
    <col min="9992" max="9992" width="27.85546875" style="374" customWidth="1"/>
    <col min="9993" max="9993" width="15.5703125" style="374" customWidth="1"/>
    <col min="9994" max="10240" width="9.140625" style="374"/>
    <col min="10241" max="10241" width="12.7109375" style="374" customWidth="1"/>
    <col min="10242" max="10242" width="43.42578125" style="374" customWidth="1"/>
    <col min="10243" max="10245" width="0" style="374" hidden="1" customWidth="1"/>
    <col min="10246" max="10247" width="14.7109375" style="374" customWidth="1"/>
    <col min="10248" max="10248" width="27.85546875" style="374" customWidth="1"/>
    <col min="10249" max="10249" width="15.5703125" style="374" customWidth="1"/>
    <col min="10250" max="10496" width="9.140625" style="374"/>
    <col min="10497" max="10497" width="12.7109375" style="374" customWidth="1"/>
    <col min="10498" max="10498" width="43.42578125" style="374" customWidth="1"/>
    <col min="10499" max="10501" width="0" style="374" hidden="1" customWidth="1"/>
    <col min="10502" max="10503" width="14.7109375" style="374" customWidth="1"/>
    <col min="10504" max="10504" width="27.85546875" style="374" customWidth="1"/>
    <col min="10505" max="10505" width="15.5703125" style="374" customWidth="1"/>
    <col min="10506" max="10752" width="9.140625" style="374"/>
    <col min="10753" max="10753" width="12.7109375" style="374" customWidth="1"/>
    <col min="10754" max="10754" width="43.42578125" style="374" customWidth="1"/>
    <col min="10755" max="10757" width="0" style="374" hidden="1" customWidth="1"/>
    <col min="10758" max="10759" width="14.7109375" style="374" customWidth="1"/>
    <col min="10760" max="10760" width="27.85546875" style="374" customWidth="1"/>
    <col min="10761" max="10761" width="15.5703125" style="374" customWidth="1"/>
    <col min="10762" max="11008" width="9.140625" style="374"/>
    <col min="11009" max="11009" width="12.7109375" style="374" customWidth="1"/>
    <col min="11010" max="11010" width="43.42578125" style="374" customWidth="1"/>
    <col min="11011" max="11013" width="0" style="374" hidden="1" customWidth="1"/>
    <col min="11014" max="11015" width="14.7109375" style="374" customWidth="1"/>
    <col min="11016" max="11016" width="27.85546875" style="374" customWidth="1"/>
    <col min="11017" max="11017" width="15.5703125" style="374" customWidth="1"/>
    <col min="11018" max="11264" width="9.140625" style="374"/>
    <col min="11265" max="11265" width="12.7109375" style="374" customWidth="1"/>
    <col min="11266" max="11266" width="43.42578125" style="374" customWidth="1"/>
    <col min="11267" max="11269" width="0" style="374" hidden="1" customWidth="1"/>
    <col min="11270" max="11271" width="14.7109375" style="374" customWidth="1"/>
    <col min="11272" max="11272" width="27.85546875" style="374" customWidth="1"/>
    <col min="11273" max="11273" width="15.5703125" style="374" customWidth="1"/>
    <col min="11274" max="11520" width="9.140625" style="374"/>
    <col min="11521" max="11521" width="12.7109375" style="374" customWidth="1"/>
    <col min="11522" max="11522" width="43.42578125" style="374" customWidth="1"/>
    <col min="11523" max="11525" width="0" style="374" hidden="1" customWidth="1"/>
    <col min="11526" max="11527" width="14.7109375" style="374" customWidth="1"/>
    <col min="11528" max="11528" width="27.85546875" style="374" customWidth="1"/>
    <col min="11529" max="11529" width="15.5703125" style="374" customWidth="1"/>
    <col min="11530" max="11776" width="9.140625" style="374"/>
    <col min="11777" max="11777" width="12.7109375" style="374" customWidth="1"/>
    <col min="11778" max="11778" width="43.42578125" style="374" customWidth="1"/>
    <col min="11779" max="11781" width="0" style="374" hidden="1" customWidth="1"/>
    <col min="11782" max="11783" width="14.7109375" style="374" customWidth="1"/>
    <col min="11784" max="11784" width="27.85546875" style="374" customWidth="1"/>
    <col min="11785" max="11785" width="15.5703125" style="374" customWidth="1"/>
    <col min="11786" max="12032" width="9.140625" style="374"/>
    <col min="12033" max="12033" width="12.7109375" style="374" customWidth="1"/>
    <col min="12034" max="12034" width="43.42578125" style="374" customWidth="1"/>
    <col min="12035" max="12037" width="0" style="374" hidden="1" customWidth="1"/>
    <col min="12038" max="12039" width="14.7109375" style="374" customWidth="1"/>
    <col min="12040" max="12040" width="27.85546875" style="374" customWidth="1"/>
    <col min="12041" max="12041" width="15.5703125" style="374" customWidth="1"/>
    <col min="12042" max="12288" width="9.140625" style="374"/>
    <col min="12289" max="12289" width="12.7109375" style="374" customWidth="1"/>
    <col min="12290" max="12290" width="43.42578125" style="374" customWidth="1"/>
    <col min="12291" max="12293" width="0" style="374" hidden="1" customWidth="1"/>
    <col min="12294" max="12295" width="14.7109375" style="374" customWidth="1"/>
    <col min="12296" max="12296" width="27.85546875" style="374" customWidth="1"/>
    <col min="12297" max="12297" width="15.5703125" style="374" customWidth="1"/>
    <col min="12298" max="12544" width="9.140625" style="374"/>
    <col min="12545" max="12545" width="12.7109375" style="374" customWidth="1"/>
    <col min="12546" max="12546" width="43.42578125" style="374" customWidth="1"/>
    <col min="12547" max="12549" width="0" style="374" hidden="1" customWidth="1"/>
    <col min="12550" max="12551" width="14.7109375" style="374" customWidth="1"/>
    <col min="12552" max="12552" width="27.85546875" style="374" customWidth="1"/>
    <col min="12553" max="12553" width="15.5703125" style="374" customWidth="1"/>
    <col min="12554" max="12800" width="9.140625" style="374"/>
    <col min="12801" max="12801" width="12.7109375" style="374" customWidth="1"/>
    <col min="12802" max="12802" width="43.42578125" style="374" customWidth="1"/>
    <col min="12803" max="12805" width="0" style="374" hidden="1" customWidth="1"/>
    <col min="12806" max="12807" width="14.7109375" style="374" customWidth="1"/>
    <col min="12808" max="12808" width="27.85546875" style="374" customWidth="1"/>
    <col min="12809" max="12809" width="15.5703125" style="374" customWidth="1"/>
    <col min="12810" max="13056" width="9.140625" style="374"/>
    <col min="13057" max="13057" width="12.7109375" style="374" customWidth="1"/>
    <col min="13058" max="13058" width="43.42578125" style="374" customWidth="1"/>
    <col min="13059" max="13061" width="0" style="374" hidden="1" customWidth="1"/>
    <col min="13062" max="13063" width="14.7109375" style="374" customWidth="1"/>
    <col min="13064" max="13064" width="27.85546875" style="374" customWidth="1"/>
    <col min="13065" max="13065" width="15.5703125" style="374" customWidth="1"/>
    <col min="13066" max="13312" width="9.140625" style="374"/>
    <col min="13313" max="13313" width="12.7109375" style="374" customWidth="1"/>
    <col min="13314" max="13314" width="43.42578125" style="374" customWidth="1"/>
    <col min="13315" max="13317" width="0" style="374" hidden="1" customWidth="1"/>
    <col min="13318" max="13319" width="14.7109375" style="374" customWidth="1"/>
    <col min="13320" max="13320" width="27.85546875" style="374" customWidth="1"/>
    <col min="13321" max="13321" width="15.5703125" style="374" customWidth="1"/>
    <col min="13322" max="13568" width="9.140625" style="374"/>
    <col min="13569" max="13569" width="12.7109375" style="374" customWidth="1"/>
    <col min="13570" max="13570" width="43.42578125" style="374" customWidth="1"/>
    <col min="13571" max="13573" width="0" style="374" hidden="1" customWidth="1"/>
    <col min="13574" max="13575" width="14.7109375" style="374" customWidth="1"/>
    <col min="13576" max="13576" width="27.85546875" style="374" customWidth="1"/>
    <col min="13577" max="13577" width="15.5703125" style="374" customWidth="1"/>
    <col min="13578" max="13824" width="9.140625" style="374"/>
    <col min="13825" max="13825" width="12.7109375" style="374" customWidth="1"/>
    <col min="13826" max="13826" width="43.42578125" style="374" customWidth="1"/>
    <col min="13827" max="13829" width="0" style="374" hidden="1" customWidth="1"/>
    <col min="13830" max="13831" width="14.7109375" style="374" customWidth="1"/>
    <col min="13832" max="13832" width="27.85546875" style="374" customWidth="1"/>
    <col min="13833" max="13833" width="15.5703125" style="374" customWidth="1"/>
    <col min="13834" max="14080" width="9.140625" style="374"/>
    <col min="14081" max="14081" width="12.7109375" style="374" customWidth="1"/>
    <col min="14082" max="14082" width="43.42578125" style="374" customWidth="1"/>
    <col min="14083" max="14085" width="0" style="374" hidden="1" customWidth="1"/>
    <col min="14086" max="14087" width="14.7109375" style="374" customWidth="1"/>
    <col min="14088" max="14088" width="27.85546875" style="374" customWidth="1"/>
    <col min="14089" max="14089" width="15.5703125" style="374" customWidth="1"/>
    <col min="14090" max="14336" width="9.140625" style="374"/>
    <col min="14337" max="14337" width="12.7109375" style="374" customWidth="1"/>
    <col min="14338" max="14338" width="43.42578125" style="374" customWidth="1"/>
    <col min="14339" max="14341" width="0" style="374" hidden="1" customWidth="1"/>
    <col min="14342" max="14343" width="14.7109375" style="374" customWidth="1"/>
    <col min="14344" max="14344" width="27.85546875" style="374" customWidth="1"/>
    <col min="14345" max="14345" width="15.5703125" style="374" customWidth="1"/>
    <col min="14346" max="14592" width="9.140625" style="374"/>
    <col min="14593" max="14593" width="12.7109375" style="374" customWidth="1"/>
    <col min="14594" max="14594" width="43.42578125" style="374" customWidth="1"/>
    <col min="14595" max="14597" width="0" style="374" hidden="1" customWidth="1"/>
    <col min="14598" max="14599" width="14.7109375" style="374" customWidth="1"/>
    <col min="14600" max="14600" width="27.85546875" style="374" customWidth="1"/>
    <col min="14601" max="14601" width="15.5703125" style="374" customWidth="1"/>
    <col min="14602" max="14848" width="9.140625" style="374"/>
    <col min="14849" max="14849" width="12.7109375" style="374" customWidth="1"/>
    <col min="14850" max="14850" width="43.42578125" style="374" customWidth="1"/>
    <col min="14851" max="14853" width="0" style="374" hidden="1" customWidth="1"/>
    <col min="14854" max="14855" width="14.7109375" style="374" customWidth="1"/>
    <col min="14856" max="14856" width="27.85546875" style="374" customWidth="1"/>
    <col min="14857" max="14857" width="15.5703125" style="374" customWidth="1"/>
    <col min="14858" max="15104" width="9.140625" style="374"/>
    <col min="15105" max="15105" width="12.7109375" style="374" customWidth="1"/>
    <col min="15106" max="15106" width="43.42578125" style="374" customWidth="1"/>
    <col min="15107" max="15109" width="0" style="374" hidden="1" customWidth="1"/>
    <col min="15110" max="15111" width="14.7109375" style="374" customWidth="1"/>
    <col min="15112" max="15112" width="27.85546875" style="374" customWidth="1"/>
    <col min="15113" max="15113" width="15.5703125" style="374" customWidth="1"/>
    <col min="15114" max="15360" width="9.140625" style="374"/>
    <col min="15361" max="15361" width="12.7109375" style="374" customWidth="1"/>
    <col min="15362" max="15362" width="43.42578125" style="374" customWidth="1"/>
    <col min="15363" max="15365" width="0" style="374" hidden="1" customWidth="1"/>
    <col min="15366" max="15367" width="14.7109375" style="374" customWidth="1"/>
    <col min="15368" max="15368" width="27.85546875" style="374" customWidth="1"/>
    <col min="15369" max="15369" width="15.5703125" style="374" customWidth="1"/>
    <col min="15370" max="15616" width="9.140625" style="374"/>
    <col min="15617" max="15617" width="12.7109375" style="374" customWidth="1"/>
    <col min="15618" max="15618" width="43.42578125" style="374" customWidth="1"/>
    <col min="15619" max="15621" width="0" style="374" hidden="1" customWidth="1"/>
    <col min="15622" max="15623" width="14.7109375" style="374" customWidth="1"/>
    <col min="15624" max="15624" width="27.85546875" style="374" customWidth="1"/>
    <col min="15625" max="15625" width="15.5703125" style="374" customWidth="1"/>
    <col min="15626" max="15872" width="9.140625" style="374"/>
    <col min="15873" max="15873" width="12.7109375" style="374" customWidth="1"/>
    <col min="15874" max="15874" width="43.42578125" style="374" customWidth="1"/>
    <col min="15875" max="15877" width="0" style="374" hidden="1" customWidth="1"/>
    <col min="15878" max="15879" width="14.7109375" style="374" customWidth="1"/>
    <col min="15880" max="15880" width="27.85546875" style="374" customWidth="1"/>
    <col min="15881" max="15881" width="15.5703125" style="374" customWidth="1"/>
    <col min="15882" max="16128" width="9.140625" style="374"/>
    <col min="16129" max="16129" width="12.7109375" style="374" customWidth="1"/>
    <col min="16130" max="16130" width="43.42578125" style="374" customWidth="1"/>
    <col min="16131" max="16133" width="0" style="374" hidden="1" customWidth="1"/>
    <col min="16134" max="16135" width="14.7109375" style="374" customWidth="1"/>
    <col min="16136" max="16136" width="27.85546875" style="374" customWidth="1"/>
    <col min="16137" max="16137" width="15.5703125" style="374" customWidth="1"/>
    <col min="16138" max="16384" width="9.140625" style="374"/>
  </cols>
  <sheetData>
    <row r="1" spans="1:14" ht="15.75" x14ac:dyDescent="0.25">
      <c r="A1" s="499" t="s">
        <v>113</v>
      </c>
    </row>
    <row r="2" spans="1:14" ht="15.75" x14ac:dyDescent="0.2">
      <c r="A2" s="375" t="s">
        <v>426</v>
      </c>
    </row>
    <row r="3" spans="1:14" x14ac:dyDescent="0.2">
      <c r="C3" s="376" t="s">
        <v>156</v>
      </c>
      <c r="D3" s="376" t="s">
        <v>157</v>
      </c>
      <c r="E3" s="376" t="s">
        <v>156</v>
      </c>
      <c r="F3" s="501" t="s">
        <v>158</v>
      </c>
      <c r="G3" s="501" t="s">
        <v>158</v>
      </c>
      <c r="I3" s="501" t="s">
        <v>158</v>
      </c>
    </row>
    <row r="4" spans="1:14" x14ac:dyDescent="0.2">
      <c r="C4" s="376" t="s">
        <v>159</v>
      </c>
      <c r="D4" s="376" t="s">
        <v>160</v>
      </c>
      <c r="E4" s="376" t="s">
        <v>160</v>
      </c>
      <c r="F4" s="501" t="s">
        <v>161</v>
      </c>
      <c r="G4" s="501" t="s">
        <v>161</v>
      </c>
      <c r="I4" s="501" t="s">
        <v>277</v>
      </c>
    </row>
    <row r="5" spans="1:14" ht="12.75" x14ac:dyDescent="0.2">
      <c r="C5" s="377">
        <v>36799</v>
      </c>
      <c r="D5" s="377" t="s">
        <v>162</v>
      </c>
      <c r="E5" s="378" t="s">
        <v>163</v>
      </c>
      <c r="F5" s="377">
        <v>45291</v>
      </c>
      <c r="G5" s="377">
        <v>45260</v>
      </c>
      <c r="I5" s="377">
        <v>45260</v>
      </c>
    </row>
    <row r="6" spans="1:14" x14ac:dyDescent="0.2">
      <c r="A6" s="373" t="s">
        <v>164</v>
      </c>
      <c r="B6" s="373" t="s">
        <v>165</v>
      </c>
    </row>
    <row r="7" spans="1:14" x14ac:dyDescent="0.2">
      <c r="A7" s="373" t="s">
        <v>166</v>
      </c>
      <c r="B7" s="373" t="s">
        <v>167</v>
      </c>
      <c r="C7" s="373" t="s">
        <v>168</v>
      </c>
      <c r="D7" s="379" t="s">
        <v>169</v>
      </c>
      <c r="E7" s="379" t="s">
        <v>170</v>
      </c>
      <c r="F7" s="502" t="s">
        <v>171</v>
      </c>
      <c r="G7" s="502" t="s">
        <v>171</v>
      </c>
    </row>
    <row r="8" spans="1:14" x14ac:dyDescent="0.2">
      <c r="A8" s="379"/>
      <c r="C8" s="380"/>
      <c r="D8" s="380"/>
      <c r="E8" s="380"/>
    </row>
    <row r="9" spans="1:14" ht="12.75" x14ac:dyDescent="0.2">
      <c r="A9" s="381"/>
      <c r="B9" s="382" t="s">
        <v>172</v>
      </c>
      <c r="C9" s="383"/>
      <c r="D9" s="383"/>
      <c r="E9" s="383"/>
      <c r="F9" s="503">
        <f>SUM(F10:F12)</f>
        <v>686516.89999999991</v>
      </c>
      <c r="G9" s="503">
        <v>686417.12</v>
      </c>
      <c r="I9" s="503">
        <f>+F9-G9</f>
        <v>99.779999999911524</v>
      </c>
    </row>
    <row r="10" spans="1:14" x14ac:dyDescent="0.2">
      <c r="A10" s="373" t="s">
        <v>173</v>
      </c>
      <c r="B10" s="373" t="s">
        <v>174</v>
      </c>
      <c r="C10" s="380"/>
      <c r="D10" s="380"/>
      <c r="E10" s="380"/>
      <c r="F10" s="500">
        <v>5118.71</v>
      </c>
      <c r="G10" s="500">
        <v>5438.71</v>
      </c>
      <c r="I10" s="500">
        <f t="shared" ref="I10:I57" si="0">+F10-G10</f>
        <v>-320</v>
      </c>
    </row>
    <row r="11" spans="1:14" x14ac:dyDescent="0.2">
      <c r="A11" s="373" t="s">
        <v>175</v>
      </c>
      <c r="B11" s="373" t="s">
        <v>176</v>
      </c>
      <c r="C11" s="380"/>
      <c r="D11" s="380"/>
      <c r="E11" s="380"/>
      <c r="F11" s="500">
        <v>0</v>
      </c>
      <c r="G11" s="500">
        <v>0</v>
      </c>
      <c r="I11" s="500">
        <f t="shared" si="0"/>
        <v>0</v>
      </c>
    </row>
    <row r="12" spans="1:14" x14ac:dyDescent="0.2">
      <c r="A12" s="373" t="s">
        <v>177</v>
      </c>
      <c r="B12" s="373" t="s">
        <v>178</v>
      </c>
      <c r="C12" s="380"/>
      <c r="D12" s="380"/>
      <c r="E12" s="380"/>
      <c r="F12" s="500">
        <v>681398.19</v>
      </c>
      <c r="G12" s="500">
        <v>680978.41</v>
      </c>
      <c r="H12" s="385"/>
      <c r="I12" s="500">
        <f t="shared" si="0"/>
        <v>419.77999999991152</v>
      </c>
      <c r="K12" s="384"/>
    </row>
    <row r="13" spans="1:14" x14ac:dyDescent="0.2">
      <c r="A13" s="379"/>
      <c r="C13" s="380"/>
      <c r="D13" s="380"/>
      <c r="E13" s="380"/>
      <c r="I13" s="500">
        <f t="shared" si="0"/>
        <v>0</v>
      </c>
    </row>
    <row r="14" spans="1:14" ht="12.75" x14ac:dyDescent="0.2">
      <c r="A14" s="381"/>
      <c r="B14" s="382" t="s">
        <v>179</v>
      </c>
      <c r="C14" s="383"/>
      <c r="D14" s="383"/>
      <c r="E14" s="383"/>
      <c r="F14" s="503">
        <f>SUM(F15:F19)</f>
        <v>-2905.859999999986</v>
      </c>
      <c r="G14" s="503">
        <v>176321.36</v>
      </c>
      <c r="I14" s="503">
        <f t="shared" si="0"/>
        <v>-179227.21999999997</v>
      </c>
    </row>
    <row r="15" spans="1:14" x14ac:dyDescent="0.25">
      <c r="A15" s="373" t="s">
        <v>180</v>
      </c>
      <c r="B15" s="373" t="s">
        <v>181</v>
      </c>
      <c r="C15" s="380"/>
      <c r="D15" s="380"/>
      <c r="E15" s="380"/>
      <c r="F15" s="504">
        <v>3875.64</v>
      </c>
      <c r="G15" s="504">
        <v>4310.43</v>
      </c>
      <c r="I15" s="504">
        <f t="shared" si="0"/>
        <v>-434.79000000000042</v>
      </c>
      <c r="N15" s="505"/>
    </row>
    <row r="16" spans="1:14" hidden="1" x14ac:dyDescent="0.25">
      <c r="A16" s="373" t="s">
        <v>427</v>
      </c>
      <c r="B16" s="373" t="s">
        <v>278</v>
      </c>
      <c r="C16" s="380"/>
      <c r="D16" s="380"/>
      <c r="E16" s="380"/>
      <c r="F16" s="504"/>
      <c r="G16" s="504"/>
      <c r="H16" s="374" t="s">
        <v>428</v>
      </c>
      <c r="I16" s="504">
        <f t="shared" si="0"/>
        <v>0</v>
      </c>
    </row>
    <row r="17" spans="1:9" x14ac:dyDescent="0.25">
      <c r="A17" s="373" t="s">
        <v>182</v>
      </c>
      <c r="B17" s="373" t="s">
        <v>225</v>
      </c>
      <c r="C17" s="380"/>
      <c r="D17" s="380"/>
      <c r="E17" s="380"/>
      <c r="F17" s="506">
        <v>0</v>
      </c>
      <c r="G17" s="506">
        <v>23587.02</v>
      </c>
      <c r="H17" s="507" t="s">
        <v>429</v>
      </c>
      <c r="I17" s="504">
        <f t="shared" si="0"/>
        <v>-23587.02</v>
      </c>
    </row>
    <row r="18" spans="1:9" x14ac:dyDescent="0.25">
      <c r="A18" s="373" t="s">
        <v>430</v>
      </c>
      <c r="B18" s="373" t="s">
        <v>431</v>
      </c>
      <c r="C18" s="380"/>
      <c r="D18" s="380"/>
      <c r="E18" s="380"/>
      <c r="F18" s="506">
        <v>210723.83</v>
      </c>
      <c r="G18" s="506">
        <v>210723.83</v>
      </c>
      <c r="H18" s="507" t="s">
        <v>432</v>
      </c>
      <c r="I18" s="504"/>
    </row>
    <row r="19" spans="1:9" ht="12.75" customHeight="1" x14ac:dyDescent="0.25">
      <c r="A19" s="373" t="s">
        <v>183</v>
      </c>
      <c r="B19" s="373" t="s">
        <v>184</v>
      </c>
      <c r="C19" s="380"/>
      <c r="D19" s="380"/>
      <c r="E19" s="380"/>
      <c r="F19" s="508">
        <v>-217505.33</v>
      </c>
      <c r="G19" s="504">
        <v>-62299.92</v>
      </c>
      <c r="I19" s="504">
        <f t="shared" si="0"/>
        <v>-155205.40999999997</v>
      </c>
    </row>
    <row r="20" spans="1:9" ht="12.75" x14ac:dyDescent="0.2">
      <c r="A20" s="379"/>
      <c r="C20" s="380"/>
      <c r="D20" s="380"/>
      <c r="E20" s="380"/>
      <c r="F20" s="509" t="s">
        <v>185</v>
      </c>
      <c r="G20" s="509" t="s">
        <v>185</v>
      </c>
      <c r="I20" s="509"/>
    </row>
    <row r="21" spans="1:9" ht="12.75" x14ac:dyDescent="0.2">
      <c r="A21" s="381"/>
      <c r="B21" s="382" t="s">
        <v>186</v>
      </c>
      <c r="C21" s="383"/>
      <c r="D21" s="383"/>
      <c r="E21" s="383"/>
      <c r="F21" s="503">
        <f>SUM(F22:F23)</f>
        <v>417792.09</v>
      </c>
      <c r="G21" s="503">
        <v>282177.16000000003</v>
      </c>
      <c r="I21" s="503">
        <f t="shared" si="0"/>
        <v>135614.93</v>
      </c>
    </row>
    <row r="22" spans="1:9" ht="12.75" customHeight="1" x14ac:dyDescent="0.2">
      <c r="A22" s="373" t="s">
        <v>187</v>
      </c>
      <c r="B22" s="373" t="s">
        <v>188</v>
      </c>
      <c r="C22" s="380"/>
      <c r="D22" s="380"/>
      <c r="E22" s="380"/>
      <c r="F22" s="510">
        <v>367290.63</v>
      </c>
      <c r="G22" s="510">
        <v>231675.7</v>
      </c>
      <c r="I22" s="500">
        <f t="shared" si="0"/>
        <v>135614.93</v>
      </c>
    </row>
    <row r="23" spans="1:9" ht="12.75" customHeight="1" x14ac:dyDescent="0.2">
      <c r="A23" s="373" t="s">
        <v>189</v>
      </c>
      <c r="B23" s="373" t="s">
        <v>190</v>
      </c>
      <c r="C23" s="380"/>
      <c r="D23" s="380"/>
      <c r="E23" s="380"/>
      <c r="F23" s="510">
        <v>50501.46</v>
      </c>
      <c r="G23" s="510">
        <v>50501.46</v>
      </c>
      <c r="I23" s="500">
        <f t="shared" si="0"/>
        <v>0</v>
      </c>
    </row>
    <row r="24" spans="1:9" ht="12.75" customHeight="1" x14ac:dyDescent="0.2">
      <c r="A24" s="379"/>
      <c r="C24" s="380"/>
      <c r="D24" s="380"/>
      <c r="E24" s="380"/>
      <c r="I24" s="500"/>
    </row>
    <row r="25" spans="1:9" ht="12.75" x14ac:dyDescent="0.2">
      <c r="A25" s="381"/>
      <c r="B25" s="382" t="s">
        <v>191</v>
      </c>
      <c r="C25" s="383"/>
      <c r="D25" s="383"/>
      <c r="E25" s="383"/>
      <c r="F25" s="503">
        <f>SUM(F26:F27)</f>
        <v>28739.96</v>
      </c>
      <c r="G25" s="503">
        <v>39867.670000000006</v>
      </c>
      <c r="I25" s="503">
        <f t="shared" si="0"/>
        <v>-11127.710000000006</v>
      </c>
    </row>
    <row r="26" spans="1:9" x14ac:dyDescent="0.25">
      <c r="A26" s="373" t="s">
        <v>192</v>
      </c>
      <c r="B26" s="373" t="s">
        <v>193</v>
      </c>
      <c r="C26" s="380"/>
      <c r="D26" s="380"/>
      <c r="E26" s="380"/>
      <c r="F26" s="506">
        <v>1708.34</v>
      </c>
      <c r="G26" s="506">
        <v>2562.5100000000002</v>
      </c>
      <c r="I26" s="504">
        <f t="shared" si="0"/>
        <v>-854.1700000000003</v>
      </c>
    </row>
    <row r="27" spans="1:9" ht="12.75" x14ac:dyDescent="0.2">
      <c r="A27" s="373" t="s">
        <v>194</v>
      </c>
      <c r="B27" s="373" t="s">
        <v>195</v>
      </c>
      <c r="C27" s="380"/>
      <c r="D27" s="380"/>
      <c r="E27" s="380"/>
      <c r="F27" s="511">
        <v>27031.62</v>
      </c>
      <c r="G27" s="511">
        <v>37305.160000000003</v>
      </c>
      <c r="I27" s="512">
        <f t="shared" si="0"/>
        <v>-10273.540000000005</v>
      </c>
    </row>
    <row r="28" spans="1:9" x14ac:dyDescent="0.2">
      <c r="A28" s="379"/>
      <c r="C28" s="380"/>
      <c r="D28" s="380"/>
      <c r="E28" s="380"/>
      <c r="I28" s="500"/>
    </row>
    <row r="29" spans="1:9" ht="12.75" x14ac:dyDescent="0.2">
      <c r="A29" s="381"/>
      <c r="B29" s="382" t="s">
        <v>196</v>
      </c>
      <c r="C29" s="383"/>
      <c r="D29" s="383"/>
      <c r="E29" s="383"/>
      <c r="F29" s="503">
        <f>+F30</f>
        <v>30420</v>
      </c>
      <c r="G29" s="503">
        <v>30420</v>
      </c>
      <c r="I29" s="503">
        <f t="shared" si="0"/>
        <v>0</v>
      </c>
    </row>
    <row r="30" spans="1:9" ht="12.75" x14ac:dyDescent="0.2">
      <c r="A30" s="373" t="s">
        <v>197</v>
      </c>
      <c r="B30" s="373" t="s">
        <v>198</v>
      </c>
      <c r="C30" s="380"/>
      <c r="D30" s="380"/>
      <c r="E30" s="380"/>
      <c r="F30" s="513">
        <v>30420</v>
      </c>
      <c r="G30" s="513">
        <v>30420</v>
      </c>
      <c r="I30" s="513">
        <f t="shared" si="0"/>
        <v>0</v>
      </c>
    </row>
    <row r="31" spans="1:9" hidden="1" x14ac:dyDescent="0.2">
      <c r="A31" s="379"/>
      <c r="C31" s="380"/>
      <c r="D31" s="380"/>
      <c r="E31" s="380"/>
      <c r="I31" s="500">
        <f t="shared" si="0"/>
        <v>0</v>
      </c>
    </row>
    <row r="32" spans="1:9" ht="12.75" hidden="1" x14ac:dyDescent="0.2">
      <c r="A32" s="381"/>
      <c r="B32" s="382" t="s">
        <v>199</v>
      </c>
      <c r="C32" s="383"/>
      <c r="D32" s="383"/>
      <c r="E32" s="383"/>
      <c r="F32" s="503">
        <f>SUM(F33:F33)</f>
        <v>0</v>
      </c>
      <c r="G32" s="503">
        <v>0</v>
      </c>
      <c r="I32" s="503">
        <f t="shared" si="0"/>
        <v>0</v>
      </c>
    </row>
    <row r="33" spans="1:9" hidden="1" x14ac:dyDescent="0.2">
      <c r="A33" s="373" t="s">
        <v>200</v>
      </c>
      <c r="B33" s="373" t="s">
        <v>201</v>
      </c>
      <c r="C33" s="380"/>
      <c r="D33" s="380"/>
      <c r="E33" s="380"/>
      <c r="F33" s="500">
        <v>0</v>
      </c>
      <c r="G33" s="500">
        <v>0</v>
      </c>
      <c r="I33" s="500">
        <f t="shared" si="0"/>
        <v>0</v>
      </c>
    </row>
    <row r="34" spans="1:9" hidden="1" x14ac:dyDescent="0.2">
      <c r="C34" s="380"/>
      <c r="D34" s="380"/>
      <c r="E34" s="380"/>
      <c r="I34" s="500">
        <f t="shared" si="0"/>
        <v>0</v>
      </c>
    </row>
    <row r="35" spans="1:9" x14ac:dyDescent="0.2">
      <c r="A35" s="379"/>
      <c r="C35" s="380"/>
      <c r="D35" s="380"/>
      <c r="E35" s="380"/>
      <c r="I35" s="500">
        <f t="shared" si="0"/>
        <v>0</v>
      </c>
    </row>
    <row r="36" spans="1:9" ht="12.75" x14ac:dyDescent="0.2">
      <c r="A36" s="386"/>
      <c r="B36" s="387" t="s">
        <v>202</v>
      </c>
      <c r="C36" s="388"/>
      <c r="D36" s="388"/>
      <c r="E36" s="388"/>
      <c r="F36" s="514">
        <f>F9+F14+F21+F25+F29</f>
        <v>1160563.0899999999</v>
      </c>
      <c r="G36" s="514">
        <v>1215203.31</v>
      </c>
      <c r="I36" s="514">
        <f t="shared" si="0"/>
        <v>-54640.220000000205</v>
      </c>
    </row>
    <row r="37" spans="1:9" x14ac:dyDescent="0.2">
      <c r="A37" s="379"/>
      <c r="C37" s="380"/>
      <c r="D37" s="380"/>
      <c r="E37" s="380"/>
      <c r="I37" s="500"/>
    </row>
    <row r="38" spans="1:9" ht="12.75" hidden="1" x14ac:dyDescent="0.2">
      <c r="A38" s="381"/>
      <c r="B38" s="382" t="s">
        <v>203</v>
      </c>
      <c r="C38" s="383"/>
      <c r="D38" s="383"/>
      <c r="E38" s="383"/>
      <c r="F38" s="503">
        <f>SUM(F39)</f>
        <v>0</v>
      </c>
      <c r="G38" s="503">
        <v>0</v>
      </c>
      <c r="I38" s="503">
        <f t="shared" si="0"/>
        <v>0</v>
      </c>
    </row>
    <row r="39" spans="1:9" hidden="1" x14ac:dyDescent="0.2">
      <c r="A39" s="373" t="s">
        <v>183</v>
      </c>
      <c r="B39" s="373" t="s">
        <v>184</v>
      </c>
      <c r="C39" s="380"/>
      <c r="D39" s="380"/>
      <c r="E39" s="380"/>
      <c r="I39" s="500">
        <f t="shared" si="0"/>
        <v>0</v>
      </c>
    </row>
    <row r="40" spans="1:9" hidden="1" x14ac:dyDescent="0.2">
      <c r="C40" s="380"/>
      <c r="D40" s="380"/>
      <c r="E40" s="380"/>
      <c r="I40" s="500">
        <f t="shared" si="0"/>
        <v>0</v>
      </c>
    </row>
    <row r="41" spans="1:9" ht="12.75" x14ac:dyDescent="0.2">
      <c r="A41" s="381"/>
      <c r="B41" s="382" t="s">
        <v>204</v>
      </c>
      <c r="C41" s="383"/>
      <c r="D41" s="383"/>
      <c r="E41" s="383"/>
      <c r="F41" s="503">
        <f>SUM(F42:F43)</f>
        <v>8150.08</v>
      </c>
      <c r="G41" s="503">
        <v>20224.89</v>
      </c>
      <c r="I41" s="503">
        <f t="shared" si="0"/>
        <v>-12074.81</v>
      </c>
    </row>
    <row r="42" spans="1:9" ht="12.75" x14ac:dyDescent="0.2">
      <c r="A42" s="373" t="s">
        <v>205</v>
      </c>
      <c r="B42" s="373" t="s">
        <v>206</v>
      </c>
      <c r="C42" s="380"/>
      <c r="D42" s="380"/>
      <c r="E42" s="380"/>
      <c r="F42" s="513">
        <v>0</v>
      </c>
      <c r="G42" s="513">
        <v>8433.98</v>
      </c>
      <c r="I42" s="513">
        <f t="shared" si="0"/>
        <v>-8433.98</v>
      </c>
    </row>
    <row r="43" spans="1:9" x14ac:dyDescent="0.2">
      <c r="A43" s="373" t="s">
        <v>200</v>
      </c>
      <c r="B43" s="373" t="s">
        <v>207</v>
      </c>
      <c r="C43" s="380"/>
      <c r="D43" s="380"/>
      <c r="E43" s="380"/>
      <c r="F43" s="500">
        <v>8150.08</v>
      </c>
      <c r="G43" s="500">
        <v>11790.91</v>
      </c>
      <c r="I43" s="500">
        <f t="shared" si="0"/>
        <v>-3640.83</v>
      </c>
    </row>
    <row r="44" spans="1:9" x14ac:dyDescent="0.2">
      <c r="A44" s="379"/>
      <c r="C44" s="380"/>
      <c r="D44" s="380"/>
      <c r="E44" s="380"/>
      <c r="I44" s="500"/>
    </row>
    <row r="45" spans="1:9" ht="12.75" hidden="1" x14ac:dyDescent="0.2">
      <c r="A45" s="381"/>
      <c r="B45" s="382" t="s">
        <v>208</v>
      </c>
      <c r="C45" s="383"/>
      <c r="D45" s="383"/>
      <c r="E45" s="383"/>
      <c r="F45" s="503">
        <f>SUM(F46:F46)</f>
        <v>0</v>
      </c>
      <c r="G45" s="503">
        <v>0</v>
      </c>
      <c r="I45" s="503">
        <f t="shared" si="0"/>
        <v>0</v>
      </c>
    </row>
    <row r="46" spans="1:9" hidden="1" x14ac:dyDescent="0.2">
      <c r="C46" s="380"/>
      <c r="D46" s="380"/>
      <c r="E46" s="380"/>
      <c r="I46" s="500">
        <f t="shared" si="0"/>
        <v>0</v>
      </c>
    </row>
    <row r="47" spans="1:9" hidden="1" x14ac:dyDescent="0.2">
      <c r="A47" s="379"/>
      <c r="C47" s="380"/>
      <c r="D47" s="380"/>
      <c r="E47" s="380"/>
      <c r="I47" s="500">
        <f t="shared" si="0"/>
        <v>0</v>
      </c>
    </row>
    <row r="48" spans="1:9" ht="12.75" x14ac:dyDescent="0.2">
      <c r="A48" s="381"/>
      <c r="B48" s="382" t="s">
        <v>209</v>
      </c>
      <c r="C48" s="383"/>
      <c r="D48" s="383"/>
      <c r="E48" s="383"/>
      <c r="F48" s="503">
        <f>SUM(F49:F52)</f>
        <v>1152412.8499999999</v>
      </c>
      <c r="G48" s="503">
        <v>1194978.48</v>
      </c>
      <c r="I48" s="503">
        <f t="shared" si="0"/>
        <v>-42565.630000000121</v>
      </c>
    </row>
    <row r="49" spans="1:9" ht="12.75" x14ac:dyDescent="0.2">
      <c r="A49" s="373" t="s">
        <v>210</v>
      </c>
      <c r="B49" s="373" t="s">
        <v>211</v>
      </c>
      <c r="C49" s="380"/>
      <c r="D49" s="380"/>
      <c r="E49" s="380"/>
      <c r="F49" s="513">
        <v>41387.72</v>
      </c>
      <c r="G49" s="513">
        <v>41387.72</v>
      </c>
      <c r="I49" s="513">
        <f t="shared" si="0"/>
        <v>0</v>
      </c>
    </row>
    <row r="50" spans="1:9" x14ac:dyDescent="0.2">
      <c r="A50" s="373" t="s">
        <v>212</v>
      </c>
      <c r="B50" s="373" t="s">
        <v>213</v>
      </c>
      <c r="C50" s="380"/>
      <c r="D50" s="380"/>
      <c r="E50" s="380"/>
      <c r="F50" s="500">
        <v>1040917.69</v>
      </c>
      <c r="G50" s="500">
        <v>1009591.82</v>
      </c>
      <c r="I50" s="500">
        <f t="shared" si="0"/>
        <v>31325.869999999995</v>
      </c>
    </row>
    <row r="51" spans="1:9" x14ac:dyDescent="0.2">
      <c r="A51" s="373" t="s">
        <v>214</v>
      </c>
      <c r="B51" s="373" t="s">
        <v>215</v>
      </c>
      <c r="C51" s="380"/>
      <c r="D51" s="380"/>
      <c r="E51" s="380"/>
      <c r="F51" s="500">
        <v>62052.94</v>
      </c>
      <c r="G51" s="500">
        <v>62052.94</v>
      </c>
      <c r="I51" s="500">
        <f t="shared" si="0"/>
        <v>0</v>
      </c>
    </row>
    <row r="52" spans="1:9" ht="12.75" x14ac:dyDescent="0.2">
      <c r="B52" s="373" t="s">
        <v>216</v>
      </c>
      <c r="C52" s="380"/>
      <c r="D52" s="380"/>
      <c r="E52" s="380"/>
      <c r="F52" s="515">
        <v>8054.5</v>
      </c>
      <c r="G52" s="515">
        <v>81946</v>
      </c>
      <c r="I52" s="515">
        <f t="shared" si="0"/>
        <v>-73891.5</v>
      </c>
    </row>
    <row r="53" spans="1:9" x14ac:dyDescent="0.2">
      <c r="C53" s="380"/>
      <c r="D53" s="380"/>
      <c r="E53" s="380"/>
      <c r="I53" s="500">
        <f t="shared" si="0"/>
        <v>0</v>
      </c>
    </row>
    <row r="54" spans="1:9" ht="12.75" x14ac:dyDescent="0.2">
      <c r="A54" s="386"/>
      <c r="B54" s="387" t="s">
        <v>217</v>
      </c>
      <c r="C54" s="388"/>
      <c r="D54" s="388"/>
      <c r="E54" s="388"/>
      <c r="F54" s="514">
        <f>F48+F41+F38</f>
        <v>1160562.93</v>
      </c>
      <c r="G54" s="514">
        <v>1215203.3699999999</v>
      </c>
      <c r="H54" s="384"/>
      <c r="I54" s="514">
        <f t="shared" si="0"/>
        <v>-54640.439999999944</v>
      </c>
    </row>
    <row r="55" spans="1:9" x14ac:dyDescent="0.2">
      <c r="C55" s="380"/>
      <c r="D55" s="380"/>
      <c r="E55" s="380"/>
      <c r="I55" s="500"/>
    </row>
    <row r="56" spans="1:9" x14ac:dyDescent="0.2">
      <c r="C56" s="380"/>
      <c r="D56" s="380"/>
      <c r="E56" s="380"/>
      <c r="I56" s="500"/>
    </row>
    <row r="57" spans="1:9" x14ac:dyDescent="0.2">
      <c r="B57" s="373" t="s">
        <v>218</v>
      </c>
      <c r="C57" s="380"/>
      <c r="D57" s="380"/>
      <c r="E57" s="380"/>
      <c r="F57" s="500">
        <f>F36-F54</f>
        <v>0.15999999991618097</v>
      </c>
      <c r="G57" s="500">
        <v>-1.9999999785795808E-2</v>
      </c>
      <c r="I57" s="500">
        <f t="shared" si="0"/>
        <v>0.17999999970197678</v>
      </c>
    </row>
    <row r="58" spans="1:9" x14ac:dyDescent="0.2">
      <c r="C58" s="380"/>
      <c r="D58" s="380"/>
      <c r="E58" s="380"/>
    </row>
    <row r="59" spans="1:9" x14ac:dyDescent="0.2">
      <c r="B59" s="389"/>
      <c r="C59" s="380"/>
      <c r="D59" s="380"/>
      <c r="E59" s="380"/>
    </row>
    <row r="60" spans="1:9" x14ac:dyDescent="0.2">
      <c r="C60" s="380"/>
      <c r="D60" s="380"/>
      <c r="E60" s="380"/>
    </row>
    <row r="61" spans="1:9" ht="12.75" x14ac:dyDescent="0.2">
      <c r="B61" s="389"/>
      <c r="C61" s="390"/>
      <c r="D61" s="389"/>
      <c r="E61" s="389"/>
      <c r="F61" s="516"/>
      <c r="G61" s="516"/>
    </row>
    <row r="65" spans="3:3" x14ac:dyDescent="0.2">
      <c r="C65" s="380"/>
    </row>
  </sheetData>
  <pageMargins left="0.7" right="0.7" top="0.75" bottom="0.75" header="0.3" footer="0.3"/>
  <pageSetup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45B4D-0930-4BD1-8B21-86C0DA4B6736}">
  <sheetPr>
    <pageSetUpPr fitToPage="1"/>
  </sheetPr>
  <dimension ref="A2:P29"/>
  <sheetViews>
    <sheetView zoomScaleNormal="100" workbookViewId="0">
      <selection activeCell="O29" sqref="O29"/>
    </sheetView>
  </sheetViews>
  <sheetFormatPr defaultColWidth="9.140625" defaultRowHeight="12.75" x14ac:dyDescent="0.2"/>
  <cols>
    <col min="1" max="1" width="1" style="249" customWidth="1"/>
    <col min="2" max="2" width="14.42578125" style="249" customWidth="1"/>
    <col min="3" max="3" width="57.7109375" style="251" customWidth="1"/>
    <col min="4" max="4" width="2.28515625" style="251" customWidth="1"/>
    <col min="5" max="5" width="14.28515625" style="251" customWidth="1"/>
    <col min="6" max="6" width="2.7109375" style="251" customWidth="1"/>
    <col min="7" max="7" width="16.7109375" style="251" customWidth="1"/>
    <col min="8" max="8" width="2.85546875" style="251" hidden="1" customWidth="1"/>
    <col min="9" max="9" width="11.7109375" style="251" hidden="1" customWidth="1"/>
    <col min="10" max="10" width="2.7109375" style="251" hidden="1" customWidth="1"/>
    <col min="11" max="11" width="11.7109375" style="251" hidden="1" customWidth="1"/>
    <col min="12" max="12" width="2.7109375" style="251" customWidth="1"/>
    <col min="13" max="13" width="11.7109375" style="251" customWidth="1"/>
    <col min="14" max="14" width="2.7109375" style="251" customWidth="1"/>
    <col min="15" max="15" width="65.42578125" style="251" customWidth="1"/>
    <col min="16" max="256" width="9.140625" style="251"/>
    <col min="257" max="257" width="1" style="251" customWidth="1"/>
    <col min="258" max="258" width="14.42578125" style="251" customWidth="1"/>
    <col min="259" max="259" width="57.7109375" style="251" customWidth="1"/>
    <col min="260" max="260" width="2.28515625" style="251" customWidth="1"/>
    <col min="261" max="261" width="14.28515625" style="251" customWidth="1"/>
    <col min="262" max="262" width="2.7109375" style="251" customWidth="1"/>
    <col min="263" max="263" width="16.7109375" style="251" customWidth="1"/>
    <col min="264" max="267" width="0" style="251" hidden="1" customWidth="1"/>
    <col min="268" max="268" width="2.7109375" style="251" customWidth="1"/>
    <col min="269" max="269" width="11.7109375" style="251" customWidth="1"/>
    <col min="270" max="270" width="2.7109375" style="251" customWidth="1"/>
    <col min="271" max="271" width="65.42578125" style="251" customWidth="1"/>
    <col min="272" max="512" width="9.140625" style="251"/>
    <col min="513" max="513" width="1" style="251" customWidth="1"/>
    <col min="514" max="514" width="14.42578125" style="251" customWidth="1"/>
    <col min="515" max="515" width="57.7109375" style="251" customWidth="1"/>
    <col min="516" max="516" width="2.28515625" style="251" customWidth="1"/>
    <col min="517" max="517" width="14.28515625" style="251" customWidth="1"/>
    <col min="518" max="518" width="2.7109375" style="251" customWidth="1"/>
    <col min="519" max="519" width="16.7109375" style="251" customWidth="1"/>
    <col min="520" max="523" width="0" style="251" hidden="1" customWidth="1"/>
    <col min="524" max="524" width="2.7109375" style="251" customWidth="1"/>
    <col min="525" max="525" width="11.7109375" style="251" customWidth="1"/>
    <col min="526" max="526" width="2.7109375" style="251" customWidth="1"/>
    <col min="527" max="527" width="65.42578125" style="251" customWidth="1"/>
    <col min="528" max="768" width="9.140625" style="251"/>
    <col min="769" max="769" width="1" style="251" customWidth="1"/>
    <col min="770" max="770" width="14.42578125" style="251" customWidth="1"/>
    <col min="771" max="771" width="57.7109375" style="251" customWidth="1"/>
    <col min="772" max="772" width="2.28515625" style="251" customWidth="1"/>
    <col min="773" max="773" width="14.28515625" style="251" customWidth="1"/>
    <col min="774" max="774" width="2.7109375" style="251" customWidth="1"/>
    <col min="775" max="775" width="16.7109375" style="251" customWidth="1"/>
    <col min="776" max="779" width="0" style="251" hidden="1" customWidth="1"/>
    <col min="780" max="780" width="2.7109375" style="251" customWidth="1"/>
    <col min="781" max="781" width="11.7109375" style="251" customWidth="1"/>
    <col min="782" max="782" width="2.7109375" style="251" customWidth="1"/>
    <col min="783" max="783" width="65.42578125" style="251" customWidth="1"/>
    <col min="784" max="1024" width="9.140625" style="251"/>
    <col min="1025" max="1025" width="1" style="251" customWidth="1"/>
    <col min="1026" max="1026" width="14.42578125" style="251" customWidth="1"/>
    <col min="1027" max="1027" width="57.7109375" style="251" customWidth="1"/>
    <col min="1028" max="1028" width="2.28515625" style="251" customWidth="1"/>
    <col min="1029" max="1029" width="14.28515625" style="251" customWidth="1"/>
    <col min="1030" max="1030" width="2.7109375" style="251" customWidth="1"/>
    <col min="1031" max="1031" width="16.7109375" style="251" customWidth="1"/>
    <col min="1032" max="1035" width="0" style="251" hidden="1" customWidth="1"/>
    <col min="1036" max="1036" width="2.7109375" style="251" customWidth="1"/>
    <col min="1037" max="1037" width="11.7109375" style="251" customWidth="1"/>
    <col min="1038" max="1038" width="2.7109375" style="251" customWidth="1"/>
    <col min="1039" max="1039" width="65.42578125" style="251" customWidth="1"/>
    <col min="1040" max="1280" width="9.140625" style="251"/>
    <col min="1281" max="1281" width="1" style="251" customWidth="1"/>
    <col min="1282" max="1282" width="14.42578125" style="251" customWidth="1"/>
    <col min="1283" max="1283" width="57.7109375" style="251" customWidth="1"/>
    <col min="1284" max="1284" width="2.28515625" style="251" customWidth="1"/>
    <col min="1285" max="1285" width="14.28515625" style="251" customWidth="1"/>
    <col min="1286" max="1286" width="2.7109375" style="251" customWidth="1"/>
    <col min="1287" max="1287" width="16.7109375" style="251" customWidth="1"/>
    <col min="1288" max="1291" width="0" style="251" hidden="1" customWidth="1"/>
    <col min="1292" max="1292" width="2.7109375" style="251" customWidth="1"/>
    <col min="1293" max="1293" width="11.7109375" style="251" customWidth="1"/>
    <col min="1294" max="1294" width="2.7109375" style="251" customWidth="1"/>
    <col min="1295" max="1295" width="65.42578125" style="251" customWidth="1"/>
    <col min="1296" max="1536" width="9.140625" style="251"/>
    <col min="1537" max="1537" width="1" style="251" customWidth="1"/>
    <col min="1538" max="1538" width="14.42578125" style="251" customWidth="1"/>
    <col min="1539" max="1539" width="57.7109375" style="251" customWidth="1"/>
    <col min="1540" max="1540" width="2.28515625" style="251" customWidth="1"/>
    <col min="1541" max="1541" width="14.28515625" style="251" customWidth="1"/>
    <col min="1542" max="1542" width="2.7109375" style="251" customWidth="1"/>
    <col min="1543" max="1543" width="16.7109375" style="251" customWidth="1"/>
    <col min="1544" max="1547" width="0" style="251" hidden="1" customWidth="1"/>
    <col min="1548" max="1548" width="2.7109375" style="251" customWidth="1"/>
    <col min="1549" max="1549" width="11.7109375" style="251" customWidth="1"/>
    <col min="1550" max="1550" width="2.7109375" style="251" customWidth="1"/>
    <col min="1551" max="1551" width="65.42578125" style="251" customWidth="1"/>
    <col min="1552" max="1792" width="9.140625" style="251"/>
    <col min="1793" max="1793" width="1" style="251" customWidth="1"/>
    <col min="1794" max="1794" width="14.42578125" style="251" customWidth="1"/>
    <col min="1795" max="1795" width="57.7109375" style="251" customWidth="1"/>
    <col min="1796" max="1796" width="2.28515625" style="251" customWidth="1"/>
    <col min="1797" max="1797" width="14.28515625" style="251" customWidth="1"/>
    <col min="1798" max="1798" width="2.7109375" style="251" customWidth="1"/>
    <col min="1799" max="1799" width="16.7109375" style="251" customWidth="1"/>
    <col min="1800" max="1803" width="0" style="251" hidden="1" customWidth="1"/>
    <col min="1804" max="1804" width="2.7109375" style="251" customWidth="1"/>
    <col min="1805" max="1805" width="11.7109375" style="251" customWidth="1"/>
    <col min="1806" max="1806" width="2.7109375" style="251" customWidth="1"/>
    <col min="1807" max="1807" width="65.42578125" style="251" customWidth="1"/>
    <col min="1808" max="2048" width="9.140625" style="251"/>
    <col min="2049" max="2049" width="1" style="251" customWidth="1"/>
    <col min="2050" max="2050" width="14.42578125" style="251" customWidth="1"/>
    <col min="2051" max="2051" width="57.7109375" style="251" customWidth="1"/>
    <col min="2052" max="2052" width="2.28515625" style="251" customWidth="1"/>
    <col min="2053" max="2053" width="14.28515625" style="251" customWidth="1"/>
    <col min="2054" max="2054" width="2.7109375" style="251" customWidth="1"/>
    <col min="2055" max="2055" width="16.7109375" style="251" customWidth="1"/>
    <col min="2056" max="2059" width="0" style="251" hidden="1" customWidth="1"/>
    <col min="2060" max="2060" width="2.7109375" style="251" customWidth="1"/>
    <col min="2061" max="2061" width="11.7109375" style="251" customWidth="1"/>
    <col min="2062" max="2062" width="2.7109375" style="251" customWidth="1"/>
    <col min="2063" max="2063" width="65.42578125" style="251" customWidth="1"/>
    <col min="2064" max="2304" width="9.140625" style="251"/>
    <col min="2305" max="2305" width="1" style="251" customWidth="1"/>
    <col min="2306" max="2306" width="14.42578125" style="251" customWidth="1"/>
    <col min="2307" max="2307" width="57.7109375" style="251" customWidth="1"/>
    <col min="2308" max="2308" width="2.28515625" style="251" customWidth="1"/>
    <col min="2309" max="2309" width="14.28515625" style="251" customWidth="1"/>
    <col min="2310" max="2310" width="2.7109375" style="251" customWidth="1"/>
    <col min="2311" max="2311" width="16.7109375" style="251" customWidth="1"/>
    <col min="2312" max="2315" width="0" style="251" hidden="1" customWidth="1"/>
    <col min="2316" max="2316" width="2.7109375" style="251" customWidth="1"/>
    <col min="2317" max="2317" width="11.7109375" style="251" customWidth="1"/>
    <col min="2318" max="2318" width="2.7109375" style="251" customWidth="1"/>
    <col min="2319" max="2319" width="65.42578125" style="251" customWidth="1"/>
    <col min="2320" max="2560" width="9.140625" style="251"/>
    <col min="2561" max="2561" width="1" style="251" customWidth="1"/>
    <col min="2562" max="2562" width="14.42578125" style="251" customWidth="1"/>
    <col min="2563" max="2563" width="57.7109375" style="251" customWidth="1"/>
    <col min="2564" max="2564" width="2.28515625" style="251" customWidth="1"/>
    <col min="2565" max="2565" width="14.28515625" style="251" customWidth="1"/>
    <col min="2566" max="2566" width="2.7109375" style="251" customWidth="1"/>
    <col min="2567" max="2567" width="16.7109375" style="251" customWidth="1"/>
    <col min="2568" max="2571" width="0" style="251" hidden="1" customWidth="1"/>
    <col min="2572" max="2572" width="2.7109375" style="251" customWidth="1"/>
    <col min="2573" max="2573" width="11.7109375" style="251" customWidth="1"/>
    <col min="2574" max="2574" width="2.7109375" style="251" customWidth="1"/>
    <col min="2575" max="2575" width="65.42578125" style="251" customWidth="1"/>
    <col min="2576" max="2816" width="9.140625" style="251"/>
    <col min="2817" max="2817" width="1" style="251" customWidth="1"/>
    <col min="2818" max="2818" width="14.42578125" style="251" customWidth="1"/>
    <col min="2819" max="2819" width="57.7109375" style="251" customWidth="1"/>
    <col min="2820" max="2820" width="2.28515625" style="251" customWidth="1"/>
    <col min="2821" max="2821" width="14.28515625" style="251" customWidth="1"/>
    <col min="2822" max="2822" width="2.7109375" style="251" customWidth="1"/>
    <col min="2823" max="2823" width="16.7109375" style="251" customWidth="1"/>
    <col min="2824" max="2827" width="0" style="251" hidden="1" customWidth="1"/>
    <col min="2828" max="2828" width="2.7109375" style="251" customWidth="1"/>
    <col min="2829" max="2829" width="11.7109375" style="251" customWidth="1"/>
    <col min="2830" max="2830" width="2.7109375" style="251" customWidth="1"/>
    <col min="2831" max="2831" width="65.42578125" style="251" customWidth="1"/>
    <col min="2832" max="3072" width="9.140625" style="251"/>
    <col min="3073" max="3073" width="1" style="251" customWidth="1"/>
    <col min="3074" max="3074" width="14.42578125" style="251" customWidth="1"/>
    <col min="3075" max="3075" width="57.7109375" style="251" customWidth="1"/>
    <col min="3076" max="3076" width="2.28515625" style="251" customWidth="1"/>
    <col min="3077" max="3077" width="14.28515625" style="251" customWidth="1"/>
    <col min="3078" max="3078" width="2.7109375" style="251" customWidth="1"/>
    <col min="3079" max="3079" width="16.7109375" style="251" customWidth="1"/>
    <col min="3080" max="3083" width="0" style="251" hidden="1" customWidth="1"/>
    <col min="3084" max="3084" width="2.7109375" style="251" customWidth="1"/>
    <col min="3085" max="3085" width="11.7109375" style="251" customWidth="1"/>
    <col min="3086" max="3086" width="2.7109375" style="251" customWidth="1"/>
    <col min="3087" max="3087" width="65.42578125" style="251" customWidth="1"/>
    <col min="3088" max="3328" width="9.140625" style="251"/>
    <col min="3329" max="3329" width="1" style="251" customWidth="1"/>
    <col min="3330" max="3330" width="14.42578125" style="251" customWidth="1"/>
    <col min="3331" max="3331" width="57.7109375" style="251" customWidth="1"/>
    <col min="3332" max="3332" width="2.28515625" style="251" customWidth="1"/>
    <col min="3333" max="3333" width="14.28515625" style="251" customWidth="1"/>
    <col min="3334" max="3334" width="2.7109375" style="251" customWidth="1"/>
    <col min="3335" max="3335" width="16.7109375" style="251" customWidth="1"/>
    <col min="3336" max="3339" width="0" style="251" hidden="1" customWidth="1"/>
    <col min="3340" max="3340" width="2.7109375" style="251" customWidth="1"/>
    <col min="3341" max="3341" width="11.7109375" style="251" customWidth="1"/>
    <col min="3342" max="3342" width="2.7109375" style="251" customWidth="1"/>
    <col min="3343" max="3343" width="65.42578125" style="251" customWidth="1"/>
    <col min="3344" max="3584" width="9.140625" style="251"/>
    <col min="3585" max="3585" width="1" style="251" customWidth="1"/>
    <col min="3586" max="3586" width="14.42578125" style="251" customWidth="1"/>
    <col min="3587" max="3587" width="57.7109375" style="251" customWidth="1"/>
    <col min="3588" max="3588" width="2.28515625" style="251" customWidth="1"/>
    <col min="3589" max="3589" width="14.28515625" style="251" customWidth="1"/>
    <col min="3590" max="3590" width="2.7109375" style="251" customWidth="1"/>
    <col min="3591" max="3591" width="16.7109375" style="251" customWidth="1"/>
    <col min="3592" max="3595" width="0" style="251" hidden="1" customWidth="1"/>
    <col min="3596" max="3596" width="2.7109375" style="251" customWidth="1"/>
    <col min="3597" max="3597" width="11.7109375" style="251" customWidth="1"/>
    <col min="3598" max="3598" width="2.7109375" style="251" customWidth="1"/>
    <col min="3599" max="3599" width="65.42578125" style="251" customWidth="1"/>
    <col min="3600" max="3840" width="9.140625" style="251"/>
    <col min="3841" max="3841" width="1" style="251" customWidth="1"/>
    <col min="3842" max="3842" width="14.42578125" style="251" customWidth="1"/>
    <col min="3843" max="3843" width="57.7109375" style="251" customWidth="1"/>
    <col min="3844" max="3844" width="2.28515625" style="251" customWidth="1"/>
    <col min="3845" max="3845" width="14.28515625" style="251" customWidth="1"/>
    <col min="3846" max="3846" width="2.7109375" style="251" customWidth="1"/>
    <col min="3847" max="3847" width="16.7109375" style="251" customWidth="1"/>
    <col min="3848" max="3851" width="0" style="251" hidden="1" customWidth="1"/>
    <col min="3852" max="3852" width="2.7109375" style="251" customWidth="1"/>
    <col min="3853" max="3853" width="11.7109375" style="251" customWidth="1"/>
    <col min="3854" max="3854" width="2.7109375" style="251" customWidth="1"/>
    <col min="3855" max="3855" width="65.42578125" style="251" customWidth="1"/>
    <col min="3856" max="4096" width="9.140625" style="251"/>
    <col min="4097" max="4097" width="1" style="251" customWidth="1"/>
    <col min="4098" max="4098" width="14.42578125" style="251" customWidth="1"/>
    <col min="4099" max="4099" width="57.7109375" style="251" customWidth="1"/>
    <col min="4100" max="4100" width="2.28515625" style="251" customWidth="1"/>
    <col min="4101" max="4101" width="14.28515625" style="251" customWidth="1"/>
    <col min="4102" max="4102" width="2.7109375" style="251" customWidth="1"/>
    <col min="4103" max="4103" width="16.7109375" style="251" customWidth="1"/>
    <col min="4104" max="4107" width="0" style="251" hidden="1" customWidth="1"/>
    <col min="4108" max="4108" width="2.7109375" style="251" customWidth="1"/>
    <col min="4109" max="4109" width="11.7109375" style="251" customWidth="1"/>
    <col min="4110" max="4110" width="2.7109375" style="251" customWidth="1"/>
    <col min="4111" max="4111" width="65.42578125" style="251" customWidth="1"/>
    <col min="4112" max="4352" width="9.140625" style="251"/>
    <col min="4353" max="4353" width="1" style="251" customWidth="1"/>
    <col min="4354" max="4354" width="14.42578125" style="251" customWidth="1"/>
    <col min="4355" max="4355" width="57.7109375" style="251" customWidth="1"/>
    <col min="4356" max="4356" width="2.28515625" style="251" customWidth="1"/>
    <col min="4357" max="4357" width="14.28515625" style="251" customWidth="1"/>
    <col min="4358" max="4358" width="2.7109375" style="251" customWidth="1"/>
    <col min="4359" max="4359" width="16.7109375" style="251" customWidth="1"/>
    <col min="4360" max="4363" width="0" style="251" hidden="1" customWidth="1"/>
    <col min="4364" max="4364" width="2.7109375" style="251" customWidth="1"/>
    <col min="4365" max="4365" width="11.7109375" style="251" customWidth="1"/>
    <col min="4366" max="4366" width="2.7109375" style="251" customWidth="1"/>
    <col min="4367" max="4367" width="65.42578125" style="251" customWidth="1"/>
    <col min="4368" max="4608" width="9.140625" style="251"/>
    <col min="4609" max="4609" width="1" style="251" customWidth="1"/>
    <col min="4610" max="4610" width="14.42578125" style="251" customWidth="1"/>
    <col min="4611" max="4611" width="57.7109375" style="251" customWidth="1"/>
    <col min="4612" max="4612" width="2.28515625" style="251" customWidth="1"/>
    <col min="4613" max="4613" width="14.28515625" style="251" customWidth="1"/>
    <col min="4614" max="4614" width="2.7109375" style="251" customWidth="1"/>
    <col min="4615" max="4615" width="16.7109375" style="251" customWidth="1"/>
    <col min="4616" max="4619" width="0" style="251" hidden="1" customWidth="1"/>
    <col min="4620" max="4620" width="2.7109375" style="251" customWidth="1"/>
    <col min="4621" max="4621" width="11.7109375" style="251" customWidth="1"/>
    <col min="4622" max="4622" width="2.7109375" style="251" customWidth="1"/>
    <col min="4623" max="4623" width="65.42578125" style="251" customWidth="1"/>
    <col min="4624" max="4864" width="9.140625" style="251"/>
    <col min="4865" max="4865" width="1" style="251" customWidth="1"/>
    <col min="4866" max="4866" width="14.42578125" style="251" customWidth="1"/>
    <col min="4867" max="4867" width="57.7109375" style="251" customWidth="1"/>
    <col min="4868" max="4868" width="2.28515625" style="251" customWidth="1"/>
    <col min="4869" max="4869" width="14.28515625" style="251" customWidth="1"/>
    <col min="4870" max="4870" width="2.7109375" style="251" customWidth="1"/>
    <col min="4871" max="4871" width="16.7109375" style="251" customWidth="1"/>
    <col min="4872" max="4875" width="0" style="251" hidden="1" customWidth="1"/>
    <col min="4876" max="4876" width="2.7109375" style="251" customWidth="1"/>
    <col min="4877" max="4877" width="11.7109375" style="251" customWidth="1"/>
    <col min="4878" max="4878" width="2.7109375" style="251" customWidth="1"/>
    <col min="4879" max="4879" width="65.42578125" style="251" customWidth="1"/>
    <col min="4880" max="5120" width="9.140625" style="251"/>
    <col min="5121" max="5121" width="1" style="251" customWidth="1"/>
    <col min="5122" max="5122" width="14.42578125" style="251" customWidth="1"/>
    <col min="5123" max="5123" width="57.7109375" style="251" customWidth="1"/>
    <col min="5124" max="5124" width="2.28515625" style="251" customWidth="1"/>
    <col min="5125" max="5125" width="14.28515625" style="251" customWidth="1"/>
    <col min="5126" max="5126" width="2.7109375" style="251" customWidth="1"/>
    <col min="5127" max="5127" width="16.7109375" style="251" customWidth="1"/>
    <col min="5128" max="5131" width="0" style="251" hidden="1" customWidth="1"/>
    <col min="5132" max="5132" width="2.7109375" style="251" customWidth="1"/>
    <col min="5133" max="5133" width="11.7109375" style="251" customWidth="1"/>
    <col min="5134" max="5134" width="2.7109375" style="251" customWidth="1"/>
    <col min="5135" max="5135" width="65.42578125" style="251" customWidth="1"/>
    <col min="5136" max="5376" width="9.140625" style="251"/>
    <col min="5377" max="5377" width="1" style="251" customWidth="1"/>
    <col min="5378" max="5378" width="14.42578125" style="251" customWidth="1"/>
    <col min="5379" max="5379" width="57.7109375" style="251" customWidth="1"/>
    <col min="5380" max="5380" width="2.28515625" style="251" customWidth="1"/>
    <col min="5381" max="5381" width="14.28515625" style="251" customWidth="1"/>
    <col min="5382" max="5382" width="2.7109375" style="251" customWidth="1"/>
    <col min="5383" max="5383" width="16.7109375" style="251" customWidth="1"/>
    <col min="5384" max="5387" width="0" style="251" hidden="1" customWidth="1"/>
    <col min="5388" max="5388" width="2.7109375" style="251" customWidth="1"/>
    <col min="5389" max="5389" width="11.7109375" style="251" customWidth="1"/>
    <col min="5390" max="5390" width="2.7109375" style="251" customWidth="1"/>
    <col min="5391" max="5391" width="65.42578125" style="251" customWidth="1"/>
    <col min="5392" max="5632" width="9.140625" style="251"/>
    <col min="5633" max="5633" width="1" style="251" customWidth="1"/>
    <col min="5634" max="5634" width="14.42578125" style="251" customWidth="1"/>
    <col min="5635" max="5635" width="57.7109375" style="251" customWidth="1"/>
    <col min="5636" max="5636" width="2.28515625" style="251" customWidth="1"/>
    <col min="5637" max="5637" width="14.28515625" style="251" customWidth="1"/>
    <col min="5638" max="5638" width="2.7109375" style="251" customWidth="1"/>
    <col min="5639" max="5639" width="16.7109375" style="251" customWidth="1"/>
    <col min="5640" max="5643" width="0" style="251" hidden="1" customWidth="1"/>
    <col min="5644" max="5644" width="2.7109375" style="251" customWidth="1"/>
    <col min="5645" max="5645" width="11.7109375" style="251" customWidth="1"/>
    <col min="5646" max="5646" width="2.7109375" style="251" customWidth="1"/>
    <col min="5647" max="5647" width="65.42578125" style="251" customWidth="1"/>
    <col min="5648" max="5888" width="9.140625" style="251"/>
    <col min="5889" max="5889" width="1" style="251" customWidth="1"/>
    <col min="5890" max="5890" width="14.42578125" style="251" customWidth="1"/>
    <col min="5891" max="5891" width="57.7109375" style="251" customWidth="1"/>
    <col min="5892" max="5892" width="2.28515625" style="251" customWidth="1"/>
    <col min="5893" max="5893" width="14.28515625" style="251" customWidth="1"/>
    <col min="5894" max="5894" width="2.7109375" style="251" customWidth="1"/>
    <col min="5895" max="5895" width="16.7109375" style="251" customWidth="1"/>
    <col min="5896" max="5899" width="0" style="251" hidden="1" customWidth="1"/>
    <col min="5900" max="5900" width="2.7109375" style="251" customWidth="1"/>
    <col min="5901" max="5901" width="11.7109375" style="251" customWidth="1"/>
    <col min="5902" max="5902" width="2.7109375" style="251" customWidth="1"/>
    <col min="5903" max="5903" width="65.42578125" style="251" customWidth="1"/>
    <col min="5904" max="6144" width="9.140625" style="251"/>
    <col min="6145" max="6145" width="1" style="251" customWidth="1"/>
    <col min="6146" max="6146" width="14.42578125" style="251" customWidth="1"/>
    <col min="6147" max="6147" width="57.7109375" style="251" customWidth="1"/>
    <col min="6148" max="6148" width="2.28515625" style="251" customWidth="1"/>
    <col min="6149" max="6149" width="14.28515625" style="251" customWidth="1"/>
    <col min="6150" max="6150" width="2.7109375" style="251" customWidth="1"/>
    <col min="6151" max="6151" width="16.7109375" style="251" customWidth="1"/>
    <col min="6152" max="6155" width="0" style="251" hidden="1" customWidth="1"/>
    <col min="6156" max="6156" width="2.7109375" style="251" customWidth="1"/>
    <col min="6157" max="6157" width="11.7109375" style="251" customWidth="1"/>
    <col min="6158" max="6158" width="2.7109375" style="251" customWidth="1"/>
    <col min="6159" max="6159" width="65.42578125" style="251" customWidth="1"/>
    <col min="6160" max="6400" width="9.140625" style="251"/>
    <col min="6401" max="6401" width="1" style="251" customWidth="1"/>
    <col min="6402" max="6402" width="14.42578125" style="251" customWidth="1"/>
    <col min="6403" max="6403" width="57.7109375" style="251" customWidth="1"/>
    <col min="6404" max="6404" width="2.28515625" style="251" customWidth="1"/>
    <col min="6405" max="6405" width="14.28515625" style="251" customWidth="1"/>
    <col min="6406" max="6406" width="2.7109375" style="251" customWidth="1"/>
    <col min="6407" max="6407" width="16.7109375" style="251" customWidth="1"/>
    <col min="6408" max="6411" width="0" style="251" hidden="1" customWidth="1"/>
    <col min="6412" max="6412" width="2.7109375" style="251" customWidth="1"/>
    <col min="6413" max="6413" width="11.7109375" style="251" customWidth="1"/>
    <col min="6414" max="6414" width="2.7109375" style="251" customWidth="1"/>
    <col min="6415" max="6415" width="65.42578125" style="251" customWidth="1"/>
    <col min="6416" max="6656" width="9.140625" style="251"/>
    <col min="6657" max="6657" width="1" style="251" customWidth="1"/>
    <col min="6658" max="6658" width="14.42578125" style="251" customWidth="1"/>
    <col min="6659" max="6659" width="57.7109375" style="251" customWidth="1"/>
    <col min="6660" max="6660" width="2.28515625" style="251" customWidth="1"/>
    <col min="6661" max="6661" width="14.28515625" style="251" customWidth="1"/>
    <col min="6662" max="6662" width="2.7109375" style="251" customWidth="1"/>
    <col min="6663" max="6663" width="16.7109375" style="251" customWidth="1"/>
    <col min="6664" max="6667" width="0" style="251" hidden="1" customWidth="1"/>
    <col min="6668" max="6668" width="2.7109375" style="251" customWidth="1"/>
    <col min="6669" max="6669" width="11.7109375" style="251" customWidth="1"/>
    <col min="6670" max="6670" width="2.7109375" style="251" customWidth="1"/>
    <col min="6671" max="6671" width="65.42578125" style="251" customWidth="1"/>
    <col min="6672" max="6912" width="9.140625" style="251"/>
    <col min="6913" max="6913" width="1" style="251" customWidth="1"/>
    <col min="6914" max="6914" width="14.42578125" style="251" customWidth="1"/>
    <col min="6915" max="6915" width="57.7109375" style="251" customWidth="1"/>
    <col min="6916" max="6916" width="2.28515625" style="251" customWidth="1"/>
    <col min="6917" max="6917" width="14.28515625" style="251" customWidth="1"/>
    <col min="6918" max="6918" width="2.7109375" style="251" customWidth="1"/>
    <col min="6919" max="6919" width="16.7109375" style="251" customWidth="1"/>
    <col min="6920" max="6923" width="0" style="251" hidden="1" customWidth="1"/>
    <col min="6924" max="6924" width="2.7109375" style="251" customWidth="1"/>
    <col min="6925" max="6925" width="11.7109375" style="251" customWidth="1"/>
    <col min="6926" max="6926" width="2.7109375" style="251" customWidth="1"/>
    <col min="6927" max="6927" width="65.42578125" style="251" customWidth="1"/>
    <col min="6928" max="7168" width="9.140625" style="251"/>
    <col min="7169" max="7169" width="1" style="251" customWidth="1"/>
    <col min="7170" max="7170" width="14.42578125" style="251" customWidth="1"/>
    <col min="7171" max="7171" width="57.7109375" style="251" customWidth="1"/>
    <col min="7172" max="7172" width="2.28515625" style="251" customWidth="1"/>
    <col min="7173" max="7173" width="14.28515625" style="251" customWidth="1"/>
    <col min="7174" max="7174" width="2.7109375" style="251" customWidth="1"/>
    <col min="7175" max="7175" width="16.7109375" style="251" customWidth="1"/>
    <col min="7176" max="7179" width="0" style="251" hidden="1" customWidth="1"/>
    <col min="7180" max="7180" width="2.7109375" style="251" customWidth="1"/>
    <col min="7181" max="7181" width="11.7109375" style="251" customWidth="1"/>
    <col min="7182" max="7182" width="2.7109375" style="251" customWidth="1"/>
    <col min="7183" max="7183" width="65.42578125" style="251" customWidth="1"/>
    <col min="7184" max="7424" width="9.140625" style="251"/>
    <col min="7425" max="7425" width="1" style="251" customWidth="1"/>
    <col min="7426" max="7426" width="14.42578125" style="251" customWidth="1"/>
    <col min="7427" max="7427" width="57.7109375" style="251" customWidth="1"/>
    <col min="7428" max="7428" width="2.28515625" style="251" customWidth="1"/>
    <col min="7429" max="7429" width="14.28515625" style="251" customWidth="1"/>
    <col min="7430" max="7430" width="2.7109375" style="251" customWidth="1"/>
    <col min="7431" max="7431" width="16.7109375" style="251" customWidth="1"/>
    <col min="7432" max="7435" width="0" style="251" hidden="1" customWidth="1"/>
    <col min="7436" max="7436" width="2.7109375" style="251" customWidth="1"/>
    <col min="7437" max="7437" width="11.7109375" style="251" customWidth="1"/>
    <col min="7438" max="7438" width="2.7109375" style="251" customWidth="1"/>
    <col min="7439" max="7439" width="65.42578125" style="251" customWidth="1"/>
    <col min="7440" max="7680" width="9.140625" style="251"/>
    <col min="7681" max="7681" width="1" style="251" customWidth="1"/>
    <col min="7682" max="7682" width="14.42578125" style="251" customWidth="1"/>
    <col min="7683" max="7683" width="57.7109375" style="251" customWidth="1"/>
    <col min="7684" max="7684" width="2.28515625" style="251" customWidth="1"/>
    <col min="7685" max="7685" width="14.28515625" style="251" customWidth="1"/>
    <col min="7686" max="7686" width="2.7109375" style="251" customWidth="1"/>
    <col min="7687" max="7687" width="16.7109375" style="251" customWidth="1"/>
    <col min="7688" max="7691" width="0" style="251" hidden="1" customWidth="1"/>
    <col min="7692" max="7692" width="2.7109375" style="251" customWidth="1"/>
    <col min="7693" max="7693" width="11.7109375" style="251" customWidth="1"/>
    <col min="7694" max="7694" width="2.7109375" style="251" customWidth="1"/>
    <col min="7695" max="7695" width="65.42578125" style="251" customWidth="1"/>
    <col min="7696" max="7936" width="9.140625" style="251"/>
    <col min="7937" max="7937" width="1" style="251" customWidth="1"/>
    <col min="7938" max="7938" width="14.42578125" style="251" customWidth="1"/>
    <col min="7939" max="7939" width="57.7109375" style="251" customWidth="1"/>
    <col min="7940" max="7940" width="2.28515625" style="251" customWidth="1"/>
    <col min="7941" max="7941" width="14.28515625" style="251" customWidth="1"/>
    <col min="7942" max="7942" width="2.7109375" style="251" customWidth="1"/>
    <col min="7943" max="7943" width="16.7109375" style="251" customWidth="1"/>
    <col min="7944" max="7947" width="0" style="251" hidden="1" customWidth="1"/>
    <col min="7948" max="7948" width="2.7109375" style="251" customWidth="1"/>
    <col min="7949" max="7949" width="11.7109375" style="251" customWidth="1"/>
    <col min="7950" max="7950" width="2.7109375" style="251" customWidth="1"/>
    <col min="7951" max="7951" width="65.42578125" style="251" customWidth="1"/>
    <col min="7952" max="8192" width="9.140625" style="251"/>
    <col min="8193" max="8193" width="1" style="251" customWidth="1"/>
    <col min="8194" max="8194" width="14.42578125" style="251" customWidth="1"/>
    <col min="8195" max="8195" width="57.7109375" style="251" customWidth="1"/>
    <col min="8196" max="8196" width="2.28515625" style="251" customWidth="1"/>
    <col min="8197" max="8197" width="14.28515625" style="251" customWidth="1"/>
    <col min="8198" max="8198" width="2.7109375" style="251" customWidth="1"/>
    <col min="8199" max="8199" width="16.7109375" style="251" customWidth="1"/>
    <col min="8200" max="8203" width="0" style="251" hidden="1" customWidth="1"/>
    <col min="8204" max="8204" width="2.7109375" style="251" customWidth="1"/>
    <col min="8205" max="8205" width="11.7109375" style="251" customWidth="1"/>
    <col min="8206" max="8206" width="2.7109375" style="251" customWidth="1"/>
    <col min="8207" max="8207" width="65.42578125" style="251" customWidth="1"/>
    <col min="8208" max="8448" width="9.140625" style="251"/>
    <col min="8449" max="8449" width="1" style="251" customWidth="1"/>
    <col min="8450" max="8450" width="14.42578125" style="251" customWidth="1"/>
    <col min="8451" max="8451" width="57.7109375" style="251" customWidth="1"/>
    <col min="8452" max="8452" width="2.28515625" style="251" customWidth="1"/>
    <col min="8453" max="8453" width="14.28515625" style="251" customWidth="1"/>
    <col min="8454" max="8454" width="2.7109375" style="251" customWidth="1"/>
    <col min="8455" max="8455" width="16.7109375" style="251" customWidth="1"/>
    <col min="8456" max="8459" width="0" style="251" hidden="1" customWidth="1"/>
    <col min="8460" max="8460" width="2.7109375" style="251" customWidth="1"/>
    <col min="8461" max="8461" width="11.7109375" style="251" customWidth="1"/>
    <col min="8462" max="8462" width="2.7109375" style="251" customWidth="1"/>
    <col min="8463" max="8463" width="65.42578125" style="251" customWidth="1"/>
    <col min="8464" max="8704" width="9.140625" style="251"/>
    <col min="8705" max="8705" width="1" style="251" customWidth="1"/>
    <col min="8706" max="8706" width="14.42578125" style="251" customWidth="1"/>
    <col min="8707" max="8707" width="57.7109375" style="251" customWidth="1"/>
    <col min="8708" max="8708" width="2.28515625" style="251" customWidth="1"/>
    <col min="8709" max="8709" width="14.28515625" style="251" customWidth="1"/>
    <col min="8710" max="8710" width="2.7109375" style="251" customWidth="1"/>
    <col min="8711" max="8711" width="16.7109375" style="251" customWidth="1"/>
    <col min="8712" max="8715" width="0" style="251" hidden="1" customWidth="1"/>
    <col min="8716" max="8716" width="2.7109375" style="251" customWidth="1"/>
    <col min="8717" max="8717" width="11.7109375" style="251" customWidth="1"/>
    <col min="8718" max="8718" width="2.7109375" style="251" customWidth="1"/>
    <col min="8719" max="8719" width="65.42578125" style="251" customWidth="1"/>
    <col min="8720" max="8960" width="9.140625" style="251"/>
    <col min="8961" max="8961" width="1" style="251" customWidth="1"/>
    <col min="8962" max="8962" width="14.42578125" style="251" customWidth="1"/>
    <col min="8963" max="8963" width="57.7109375" style="251" customWidth="1"/>
    <col min="8964" max="8964" width="2.28515625" style="251" customWidth="1"/>
    <col min="8965" max="8965" width="14.28515625" style="251" customWidth="1"/>
    <col min="8966" max="8966" width="2.7109375" style="251" customWidth="1"/>
    <col min="8967" max="8967" width="16.7109375" style="251" customWidth="1"/>
    <col min="8968" max="8971" width="0" style="251" hidden="1" customWidth="1"/>
    <col min="8972" max="8972" width="2.7109375" style="251" customWidth="1"/>
    <col min="8973" max="8973" width="11.7109375" style="251" customWidth="1"/>
    <col min="8974" max="8974" width="2.7109375" style="251" customWidth="1"/>
    <col min="8975" max="8975" width="65.42578125" style="251" customWidth="1"/>
    <col min="8976" max="9216" width="9.140625" style="251"/>
    <col min="9217" max="9217" width="1" style="251" customWidth="1"/>
    <col min="9218" max="9218" width="14.42578125" style="251" customWidth="1"/>
    <col min="9219" max="9219" width="57.7109375" style="251" customWidth="1"/>
    <col min="9220" max="9220" width="2.28515625" style="251" customWidth="1"/>
    <col min="9221" max="9221" width="14.28515625" style="251" customWidth="1"/>
    <col min="9222" max="9222" width="2.7109375" style="251" customWidth="1"/>
    <col min="9223" max="9223" width="16.7109375" style="251" customWidth="1"/>
    <col min="9224" max="9227" width="0" style="251" hidden="1" customWidth="1"/>
    <col min="9228" max="9228" width="2.7109375" style="251" customWidth="1"/>
    <col min="9229" max="9229" width="11.7109375" style="251" customWidth="1"/>
    <col min="9230" max="9230" width="2.7109375" style="251" customWidth="1"/>
    <col min="9231" max="9231" width="65.42578125" style="251" customWidth="1"/>
    <col min="9232" max="9472" width="9.140625" style="251"/>
    <col min="9473" max="9473" width="1" style="251" customWidth="1"/>
    <col min="9474" max="9474" width="14.42578125" style="251" customWidth="1"/>
    <col min="9475" max="9475" width="57.7109375" style="251" customWidth="1"/>
    <col min="9476" max="9476" width="2.28515625" style="251" customWidth="1"/>
    <col min="9477" max="9477" width="14.28515625" style="251" customWidth="1"/>
    <col min="9478" max="9478" width="2.7109375" style="251" customWidth="1"/>
    <col min="9479" max="9479" width="16.7109375" style="251" customWidth="1"/>
    <col min="9480" max="9483" width="0" style="251" hidden="1" customWidth="1"/>
    <col min="9484" max="9484" width="2.7109375" style="251" customWidth="1"/>
    <col min="9485" max="9485" width="11.7109375" style="251" customWidth="1"/>
    <col min="9486" max="9486" width="2.7109375" style="251" customWidth="1"/>
    <col min="9487" max="9487" width="65.42578125" style="251" customWidth="1"/>
    <col min="9488" max="9728" width="9.140625" style="251"/>
    <col min="9729" max="9729" width="1" style="251" customWidth="1"/>
    <col min="9730" max="9730" width="14.42578125" style="251" customWidth="1"/>
    <col min="9731" max="9731" width="57.7109375" style="251" customWidth="1"/>
    <col min="9732" max="9732" width="2.28515625" style="251" customWidth="1"/>
    <col min="9733" max="9733" width="14.28515625" style="251" customWidth="1"/>
    <col min="9734" max="9734" width="2.7109375" style="251" customWidth="1"/>
    <col min="9735" max="9735" width="16.7109375" style="251" customWidth="1"/>
    <col min="9736" max="9739" width="0" style="251" hidden="1" customWidth="1"/>
    <col min="9740" max="9740" width="2.7109375" style="251" customWidth="1"/>
    <col min="9741" max="9741" width="11.7109375" style="251" customWidth="1"/>
    <col min="9742" max="9742" width="2.7109375" style="251" customWidth="1"/>
    <col min="9743" max="9743" width="65.42578125" style="251" customWidth="1"/>
    <col min="9744" max="9984" width="9.140625" style="251"/>
    <col min="9985" max="9985" width="1" style="251" customWidth="1"/>
    <col min="9986" max="9986" width="14.42578125" style="251" customWidth="1"/>
    <col min="9987" max="9987" width="57.7109375" style="251" customWidth="1"/>
    <col min="9988" max="9988" width="2.28515625" style="251" customWidth="1"/>
    <col min="9989" max="9989" width="14.28515625" style="251" customWidth="1"/>
    <col min="9990" max="9990" width="2.7109375" style="251" customWidth="1"/>
    <col min="9991" max="9991" width="16.7109375" style="251" customWidth="1"/>
    <col min="9992" max="9995" width="0" style="251" hidden="1" customWidth="1"/>
    <col min="9996" max="9996" width="2.7109375" style="251" customWidth="1"/>
    <col min="9997" max="9997" width="11.7109375" style="251" customWidth="1"/>
    <col min="9998" max="9998" width="2.7109375" style="251" customWidth="1"/>
    <col min="9999" max="9999" width="65.42578125" style="251" customWidth="1"/>
    <col min="10000" max="10240" width="9.140625" style="251"/>
    <col min="10241" max="10241" width="1" style="251" customWidth="1"/>
    <col min="10242" max="10242" width="14.42578125" style="251" customWidth="1"/>
    <col min="10243" max="10243" width="57.7109375" style="251" customWidth="1"/>
    <col min="10244" max="10244" width="2.28515625" style="251" customWidth="1"/>
    <col min="10245" max="10245" width="14.28515625" style="251" customWidth="1"/>
    <col min="10246" max="10246" width="2.7109375" style="251" customWidth="1"/>
    <col min="10247" max="10247" width="16.7109375" style="251" customWidth="1"/>
    <col min="10248" max="10251" width="0" style="251" hidden="1" customWidth="1"/>
    <col min="10252" max="10252" width="2.7109375" style="251" customWidth="1"/>
    <col min="10253" max="10253" width="11.7109375" style="251" customWidth="1"/>
    <col min="10254" max="10254" width="2.7109375" style="251" customWidth="1"/>
    <col min="10255" max="10255" width="65.42578125" style="251" customWidth="1"/>
    <col min="10256" max="10496" width="9.140625" style="251"/>
    <col min="10497" max="10497" width="1" style="251" customWidth="1"/>
    <col min="10498" max="10498" width="14.42578125" style="251" customWidth="1"/>
    <col min="10499" max="10499" width="57.7109375" style="251" customWidth="1"/>
    <col min="10500" max="10500" width="2.28515625" style="251" customWidth="1"/>
    <col min="10501" max="10501" width="14.28515625" style="251" customWidth="1"/>
    <col min="10502" max="10502" width="2.7109375" style="251" customWidth="1"/>
    <col min="10503" max="10503" width="16.7109375" style="251" customWidth="1"/>
    <col min="10504" max="10507" width="0" style="251" hidden="1" customWidth="1"/>
    <col min="10508" max="10508" width="2.7109375" style="251" customWidth="1"/>
    <col min="10509" max="10509" width="11.7109375" style="251" customWidth="1"/>
    <col min="10510" max="10510" width="2.7109375" style="251" customWidth="1"/>
    <col min="10511" max="10511" width="65.42578125" style="251" customWidth="1"/>
    <col min="10512" max="10752" width="9.140625" style="251"/>
    <col min="10753" max="10753" width="1" style="251" customWidth="1"/>
    <col min="10754" max="10754" width="14.42578125" style="251" customWidth="1"/>
    <col min="10755" max="10755" width="57.7109375" style="251" customWidth="1"/>
    <col min="10756" max="10756" width="2.28515625" style="251" customWidth="1"/>
    <col min="10757" max="10757" width="14.28515625" style="251" customWidth="1"/>
    <col min="10758" max="10758" width="2.7109375" style="251" customWidth="1"/>
    <col min="10759" max="10759" width="16.7109375" style="251" customWidth="1"/>
    <col min="10760" max="10763" width="0" style="251" hidden="1" customWidth="1"/>
    <col min="10764" max="10764" width="2.7109375" style="251" customWidth="1"/>
    <col min="10765" max="10765" width="11.7109375" style="251" customWidth="1"/>
    <col min="10766" max="10766" width="2.7109375" style="251" customWidth="1"/>
    <col min="10767" max="10767" width="65.42578125" style="251" customWidth="1"/>
    <col min="10768" max="11008" width="9.140625" style="251"/>
    <col min="11009" max="11009" width="1" style="251" customWidth="1"/>
    <col min="11010" max="11010" width="14.42578125" style="251" customWidth="1"/>
    <col min="11011" max="11011" width="57.7109375" style="251" customWidth="1"/>
    <col min="11012" max="11012" width="2.28515625" style="251" customWidth="1"/>
    <col min="11013" max="11013" width="14.28515625" style="251" customWidth="1"/>
    <col min="11014" max="11014" width="2.7109375" style="251" customWidth="1"/>
    <col min="11015" max="11015" width="16.7109375" style="251" customWidth="1"/>
    <col min="11016" max="11019" width="0" style="251" hidden="1" customWidth="1"/>
    <col min="11020" max="11020" width="2.7109375" style="251" customWidth="1"/>
    <col min="11021" max="11021" width="11.7109375" style="251" customWidth="1"/>
    <col min="11022" max="11022" width="2.7109375" style="251" customWidth="1"/>
    <col min="11023" max="11023" width="65.42578125" style="251" customWidth="1"/>
    <col min="11024" max="11264" width="9.140625" style="251"/>
    <col min="11265" max="11265" width="1" style="251" customWidth="1"/>
    <col min="11266" max="11266" width="14.42578125" style="251" customWidth="1"/>
    <col min="11267" max="11267" width="57.7109375" style="251" customWidth="1"/>
    <col min="11268" max="11268" width="2.28515625" style="251" customWidth="1"/>
    <col min="11269" max="11269" width="14.28515625" style="251" customWidth="1"/>
    <col min="11270" max="11270" width="2.7109375" style="251" customWidth="1"/>
    <col min="11271" max="11271" width="16.7109375" style="251" customWidth="1"/>
    <col min="11272" max="11275" width="0" style="251" hidden="1" customWidth="1"/>
    <col min="11276" max="11276" width="2.7109375" style="251" customWidth="1"/>
    <col min="11277" max="11277" width="11.7109375" style="251" customWidth="1"/>
    <col min="11278" max="11278" width="2.7109375" style="251" customWidth="1"/>
    <col min="11279" max="11279" width="65.42578125" style="251" customWidth="1"/>
    <col min="11280" max="11520" width="9.140625" style="251"/>
    <col min="11521" max="11521" width="1" style="251" customWidth="1"/>
    <col min="11522" max="11522" width="14.42578125" style="251" customWidth="1"/>
    <col min="11523" max="11523" width="57.7109375" style="251" customWidth="1"/>
    <col min="11524" max="11524" width="2.28515625" style="251" customWidth="1"/>
    <col min="11525" max="11525" width="14.28515625" style="251" customWidth="1"/>
    <col min="11526" max="11526" width="2.7109375" style="251" customWidth="1"/>
    <col min="11527" max="11527" width="16.7109375" style="251" customWidth="1"/>
    <col min="11528" max="11531" width="0" style="251" hidden="1" customWidth="1"/>
    <col min="11532" max="11532" width="2.7109375" style="251" customWidth="1"/>
    <col min="11533" max="11533" width="11.7109375" style="251" customWidth="1"/>
    <col min="11534" max="11534" width="2.7109375" style="251" customWidth="1"/>
    <col min="11535" max="11535" width="65.42578125" style="251" customWidth="1"/>
    <col min="11536" max="11776" width="9.140625" style="251"/>
    <col min="11777" max="11777" width="1" style="251" customWidth="1"/>
    <col min="11778" max="11778" width="14.42578125" style="251" customWidth="1"/>
    <col min="11779" max="11779" width="57.7109375" style="251" customWidth="1"/>
    <col min="11780" max="11780" width="2.28515625" style="251" customWidth="1"/>
    <col min="11781" max="11781" width="14.28515625" style="251" customWidth="1"/>
    <col min="11782" max="11782" width="2.7109375" style="251" customWidth="1"/>
    <col min="11783" max="11783" width="16.7109375" style="251" customWidth="1"/>
    <col min="11784" max="11787" width="0" style="251" hidden="1" customWidth="1"/>
    <col min="11788" max="11788" width="2.7109375" style="251" customWidth="1"/>
    <col min="11789" max="11789" width="11.7109375" style="251" customWidth="1"/>
    <col min="11790" max="11790" width="2.7109375" style="251" customWidth="1"/>
    <col min="11791" max="11791" width="65.42578125" style="251" customWidth="1"/>
    <col min="11792" max="12032" width="9.140625" style="251"/>
    <col min="12033" max="12033" width="1" style="251" customWidth="1"/>
    <col min="12034" max="12034" width="14.42578125" style="251" customWidth="1"/>
    <col min="12035" max="12035" width="57.7109375" style="251" customWidth="1"/>
    <col min="12036" max="12036" width="2.28515625" style="251" customWidth="1"/>
    <col min="12037" max="12037" width="14.28515625" style="251" customWidth="1"/>
    <col min="12038" max="12038" width="2.7109375" style="251" customWidth="1"/>
    <col min="12039" max="12039" width="16.7109375" style="251" customWidth="1"/>
    <col min="12040" max="12043" width="0" style="251" hidden="1" customWidth="1"/>
    <col min="12044" max="12044" width="2.7109375" style="251" customWidth="1"/>
    <col min="12045" max="12045" width="11.7109375" style="251" customWidth="1"/>
    <col min="12046" max="12046" width="2.7109375" style="251" customWidth="1"/>
    <col min="12047" max="12047" width="65.42578125" style="251" customWidth="1"/>
    <col min="12048" max="12288" width="9.140625" style="251"/>
    <col min="12289" max="12289" width="1" style="251" customWidth="1"/>
    <col min="12290" max="12290" width="14.42578125" style="251" customWidth="1"/>
    <col min="12291" max="12291" width="57.7109375" style="251" customWidth="1"/>
    <col min="12292" max="12292" width="2.28515625" style="251" customWidth="1"/>
    <col min="12293" max="12293" width="14.28515625" style="251" customWidth="1"/>
    <col min="12294" max="12294" width="2.7109375" style="251" customWidth="1"/>
    <col min="12295" max="12295" width="16.7109375" style="251" customWidth="1"/>
    <col min="12296" max="12299" width="0" style="251" hidden="1" customWidth="1"/>
    <col min="12300" max="12300" width="2.7109375" style="251" customWidth="1"/>
    <col min="12301" max="12301" width="11.7109375" style="251" customWidth="1"/>
    <col min="12302" max="12302" width="2.7109375" style="251" customWidth="1"/>
    <col min="12303" max="12303" width="65.42578125" style="251" customWidth="1"/>
    <col min="12304" max="12544" width="9.140625" style="251"/>
    <col min="12545" max="12545" width="1" style="251" customWidth="1"/>
    <col min="12546" max="12546" width="14.42578125" style="251" customWidth="1"/>
    <col min="12547" max="12547" width="57.7109375" style="251" customWidth="1"/>
    <col min="12548" max="12548" width="2.28515625" style="251" customWidth="1"/>
    <col min="12549" max="12549" width="14.28515625" style="251" customWidth="1"/>
    <col min="12550" max="12550" width="2.7109375" style="251" customWidth="1"/>
    <col min="12551" max="12551" width="16.7109375" style="251" customWidth="1"/>
    <col min="12552" max="12555" width="0" style="251" hidden="1" customWidth="1"/>
    <col min="12556" max="12556" width="2.7109375" style="251" customWidth="1"/>
    <col min="12557" max="12557" width="11.7109375" style="251" customWidth="1"/>
    <col min="12558" max="12558" width="2.7109375" style="251" customWidth="1"/>
    <col min="12559" max="12559" width="65.42578125" style="251" customWidth="1"/>
    <col min="12560" max="12800" width="9.140625" style="251"/>
    <col min="12801" max="12801" width="1" style="251" customWidth="1"/>
    <col min="12802" max="12802" width="14.42578125" style="251" customWidth="1"/>
    <col min="12803" max="12803" width="57.7109375" style="251" customWidth="1"/>
    <col min="12804" max="12804" width="2.28515625" style="251" customWidth="1"/>
    <col min="12805" max="12805" width="14.28515625" style="251" customWidth="1"/>
    <col min="12806" max="12806" width="2.7109375" style="251" customWidth="1"/>
    <col min="12807" max="12807" width="16.7109375" style="251" customWidth="1"/>
    <col min="12808" max="12811" width="0" style="251" hidden="1" customWidth="1"/>
    <col min="12812" max="12812" width="2.7109375" style="251" customWidth="1"/>
    <col min="12813" max="12813" width="11.7109375" style="251" customWidth="1"/>
    <col min="12814" max="12814" width="2.7109375" style="251" customWidth="1"/>
    <col min="12815" max="12815" width="65.42578125" style="251" customWidth="1"/>
    <col min="12816" max="13056" width="9.140625" style="251"/>
    <col min="13057" max="13057" width="1" style="251" customWidth="1"/>
    <col min="13058" max="13058" width="14.42578125" style="251" customWidth="1"/>
    <col min="13059" max="13059" width="57.7109375" style="251" customWidth="1"/>
    <col min="13060" max="13060" width="2.28515625" style="251" customWidth="1"/>
    <col min="13061" max="13061" width="14.28515625" style="251" customWidth="1"/>
    <col min="13062" max="13062" width="2.7109375" style="251" customWidth="1"/>
    <col min="13063" max="13063" width="16.7109375" style="251" customWidth="1"/>
    <col min="13064" max="13067" width="0" style="251" hidden="1" customWidth="1"/>
    <col min="13068" max="13068" width="2.7109375" style="251" customWidth="1"/>
    <col min="13069" max="13069" width="11.7109375" style="251" customWidth="1"/>
    <col min="13070" max="13070" width="2.7109375" style="251" customWidth="1"/>
    <col min="13071" max="13071" width="65.42578125" style="251" customWidth="1"/>
    <col min="13072" max="13312" width="9.140625" style="251"/>
    <col min="13313" max="13313" width="1" style="251" customWidth="1"/>
    <col min="13314" max="13314" width="14.42578125" style="251" customWidth="1"/>
    <col min="13315" max="13315" width="57.7109375" style="251" customWidth="1"/>
    <col min="13316" max="13316" width="2.28515625" style="251" customWidth="1"/>
    <col min="13317" max="13317" width="14.28515625" style="251" customWidth="1"/>
    <col min="13318" max="13318" width="2.7109375" style="251" customWidth="1"/>
    <col min="13319" max="13319" width="16.7109375" style="251" customWidth="1"/>
    <col min="13320" max="13323" width="0" style="251" hidden="1" customWidth="1"/>
    <col min="13324" max="13324" width="2.7109375" style="251" customWidth="1"/>
    <col min="13325" max="13325" width="11.7109375" style="251" customWidth="1"/>
    <col min="13326" max="13326" width="2.7109375" style="251" customWidth="1"/>
    <col min="13327" max="13327" width="65.42578125" style="251" customWidth="1"/>
    <col min="13328" max="13568" width="9.140625" style="251"/>
    <col min="13569" max="13569" width="1" style="251" customWidth="1"/>
    <col min="13570" max="13570" width="14.42578125" style="251" customWidth="1"/>
    <col min="13571" max="13571" width="57.7109375" style="251" customWidth="1"/>
    <col min="13572" max="13572" width="2.28515625" style="251" customWidth="1"/>
    <col min="13573" max="13573" width="14.28515625" style="251" customWidth="1"/>
    <col min="13574" max="13574" width="2.7109375" style="251" customWidth="1"/>
    <col min="13575" max="13575" width="16.7109375" style="251" customWidth="1"/>
    <col min="13576" max="13579" width="0" style="251" hidden="1" customWidth="1"/>
    <col min="13580" max="13580" width="2.7109375" style="251" customWidth="1"/>
    <col min="13581" max="13581" width="11.7109375" style="251" customWidth="1"/>
    <col min="13582" max="13582" width="2.7109375" style="251" customWidth="1"/>
    <col min="13583" max="13583" width="65.42578125" style="251" customWidth="1"/>
    <col min="13584" max="13824" width="9.140625" style="251"/>
    <col min="13825" max="13825" width="1" style="251" customWidth="1"/>
    <col min="13826" max="13826" width="14.42578125" style="251" customWidth="1"/>
    <col min="13827" max="13827" width="57.7109375" style="251" customWidth="1"/>
    <col min="13828" max="13828" width="2.28515625" style="251" customWidth="1"/>
    <col min="13829" max="13829" width="14.28515625" style="251" customWidth="1"/>
    <col min="13830" max="13830" width="2.7109375" style="251" customWidth="1"/>
    <col min="13831" max="13831" width="16.7109375" style="251" customWidth="1"/>
    <col min="13832" max="13835" width="0" style="251" hidden="1" customWidth="1"/>
    <col min="13836" max="13836" width="2.7109375" style="251" customWidth="1"/>
    <col min="13837" max="13837" width="11.7109375" style="251" customWidth="1"/>
    <col min="13838" max="13838" width="2.7109375" style="251" customWidth="1"/>
    <col min="13839" max="13839" width="65.42578125" style="251" customWidth="1"/>
    <col min="13840" max="14080" width="9.140625" style="251"/>
    <col min="14081" max="14081" width="1" style="251" customWidth="1"/>
    <col min="14082" max="14082" width="14.42578125" style="251" customWidth="1"/>
    <col min="14083" max="14083" width="57.7109375" style="251" customWidth="1"/>
    <col min="14084" max="14084" width="2.28515625" style="251" customWidth="1"/>
    <col min="14085" max="14085" width="14.28515625" style="251" customWidth="1"/>
    <col min="14086" max="14086" width="2.7109375" style="251" customWidth="1"/>
    <col min="14087" max="14087" width="16.7109375" style="251" customWidth="1"/>
    <col min="14088" max="14091" width="0" style="251" hidden="1" customWidth="1"/>
    <col min="14092" max="14092" width="2.7109375" style="251" customWidth="1"/>
    <col min="14093" max="14093" width="11.7109375" style="251" customWidth="1"/>
    <col min="14094" max="14094" width="2.7109375" style="251" customWidth="1"/>
    <col min="14095" max="14095" width="65.42578125" style="251" customWidth="1"/>
    <col min="14096" max="14336" width="9.140625" style="251"/>
    <col min="14337" max="14337" width="1" style="251" customWidth="1"/>
    <col min="14338" max="14338" width="14.42578125" style="251" customWidth="1"/>
    <col min="14339" max="14339" width="57.7109375" style="251" customWidth="1"/>
    <col min="14340" max="14340" width="2.28515625" style="251" customWidth="1"/>
    <col min="14341" max="14341" width="14.28515625" style="251" customWidth="1"/>
    <col min="14342" max="14342" width="2.7109375" style="251" customWidth="1"/>
    <col min="14343" max="14343" width="16.7109375" style="251" customWidth="1"/>
    <col min="14344" max="14347" width="0" style="251" hidden="1" customWidth="1"/>
    <col min="14348" max="14348" width="2.7109375" style="251" customWidth="1"/>
    <col min="14349" max="14349" width="11.7109375" style="251" customWidth="1"/>
    <col min="14350" max="14350" width="2.7109375" style="251" customWidth="1"/>
    <col min="14351" max="14351" width="65.42578125" style="251" customWidth="1"/>
    <col min="14352" max="14592" width="9.140625" style="251"/>
    <col min="14593" max="14593" width="1" style="251" customWidth="1"/>
    <col min="14594" max="14594" width="14.42578125" style="251" customWidth="1"/>
    <col min="14595" max="14595" width="57.7109375" style="251" customWidth="1"/>
    <col min="14596" max="14596" width="2.28515625" style="251" customWidth="1"/>
    <col min="14597" max="14597" width="14.28515625" style="251" customWidth="1"/>
    <col min="14598" max="14598" width="2.7109375" style="251" customWidth="1"/>
    <col min="14599" max="14599" width="16.7109375" style="251" customWidth="1"/>
    <col min="14600" max="14603" width="0" style="251" hidden="1" customWidth="1"/>
    <col min="14604" max="14604" width="2.7109375" style="251" customWidth="1"/>
    <col min="14605" max="14605" width="11.7109375" style="251" customWidth="1"/>
    <col min="14606" max="14606" width="2.7109375" style="251" customWidth="1"/>
    <col min="14607" max="14607" width="65.42578125" style="251" customWidth="1"/>
    <col min="14608" max="14848" width="9.140625" style="251"/>
    <col min="14849" max="14849" width="1" style="251" customWidth="1"/>
    <col min="14850" max="14850" width="14.42578125" style="251" customWidth="1"/>
    <col min="14851" max="14851" width="57.7109375" style="251" customWidth="1"/>
    <col min="14852" max="14852" width="2.28515625" style="251" customWidth="1"/>
    <col min="14853" max="14853" width="14.28515625" style="251" customWidth="1"/>
    <col min="14854" max="14854" width="2.7109375" style="251" customWidth="1"/>
    <col min="14855" max="14855" width="16.7109375" style="251" customWidth="1"/>
    <col min="14856" max="14859" width="0" style="251" hidden="1" customWidth="1"/>
    <col min="14860" max="14860" width="2.7109375" style="251" customWidth="1"/>
    <col min="14861" max="14861" width="11.7109375" style="251" customWidth="1"/>
    <col min="14862" max="14862" width="2.7109375" style="251" customWidth="1"/>
    <col min="14863" max="14863" width="65.42578125" style="251" customWidth="1"/>
    <col min="14864" max="15104" width="9.140625" style="251"/>
    <col min="15105" max="15105" width="1" style="251" customWidth="1"/>
    <col min="15106" max="15106" width="14.42578125" style="251" customWidth="1"/>
    <col min="15107" max="15107" width="57.7109375" style="251" customWidth="1"/>
    <col min="15108" max="15108" width="2.28515625" style="251" customWidth="1"/>
    <col min="15109" max="15109" width="14.28515625" style="251" customWidth="1"/>
    <col min="15110" max="15110" width="2.7109375" style="251" customWidth="1"/>
    <col min="15111" max="15111" width="16.7109375" style="251" customWidth="1"/>
    <col min="15112" max="15115" width="0" style="251" hidden="1" customWidth="1"/>
    <col min="15116" max="15116" width="2.7109375" style="251" customWidth="1"/>
    <col min="15117" max="15117" width="11.7109375" style="251" customWidth="1"/>
    <col min="15118" max="15118" width="2.7109375" style="251" customWidth="1"/>
    <col min="15119" max="15119" width="65.42578125" style="251" customWidth="1"/>
    <col min="15120" max="15360" width="9.140625" style="251"/>
    <col min="15361" max="15361" width="1" style="251" customWidth="1"/>
    <col min="15362" max="15362" width="14.42578125" style="251" customWidth="1"/>
    <col min="15363" max="15363" width="57.7109375" style="251" customWidth="1"/>
    <col min="15364" max="15364" width="2.28515625" style="251" customWidth="1"/>
    <col min="15365" max="15365" width="14.28515625" style="251" customWidth="1"/>
    <col min="15366" max="15366" width="2.7109375" style="251" customWidth="1"/>
    <col min="15367" max="15367" width="16.7109375" style="251" customWidth="1"/>
    <col min="15368" max="15371" width="0" style="251" hidden="1" customWidth="1"/>
    <col min="15372" max="15372" width="2.7109375" style="251" customWidth="1"/>
    <col min="15373" max="15373" width="11.7109375" style="251" customWidth="1"/>
    <col min="15374" max="15374" width="2.7109375" style="251" customWidth="1"/>
    <col min="15375" max="15375" width="65.42578125" style="251" customWidth="1"/>
    <col min="15376" max="15616" width="9.140625" style="251"/>
    <col min="15617" max="15617" width="1" style="251" customWidth="1"/>
    <col min="15618" max="15618" width="14.42578125" style="251" customWidth="1"/>
    <col min="15619" max="15619" width="57.7109375" style="251" customWidth="1"/>
    <col min="15620" max="15620" width="2.28515625" style="251" customWidth="1"/>
    <col min="15621" max="15621" width="14.28515625" style="251" customWidth="1"/>
    <col min="15622" max="15622" width="2.7109375" style="251" customWidth="1"/>
    <col min="15623" max="15623" width="16.7109375" style="251" customWidth="1"/>
    <col min="15624" max="15627" width="0" style="251" hidden="1" customWidth="1"/>
    <col min="15628" max="15628" width="2.7109375" style="251" customWidth="1"/>
    <col min="15629" max="15629" width="11.7109375" style="251" customWidth="1"/>
    <col min="15630" max="15630" width="2.7109375" style="251" customWidth="1"/>
    <col min="15631" max="15631" width="65.42578125" style="251" customWidth="1"/>
    <col min="15632" max="15872" width="9.140625" style="251"/>
    <col min="15873" max="15873" width="1" style="251" customWidth="1"/>
    <col min="15874" max="15874" width="14.42578125" style="251" customWidth="1"/>
    <col min="15875" max="15875" width="57.7109375" style="251" customWidth="1"/>
    <col min="15876" max="15876" width="2.28515625" style="251" customWidth="1"/>
    <col min="15877" max="15877" width="14.28515625" style="251" customWidth="1"/>
    <col min="15878" max="15878" width="2.7109375" style="251" customWidth="1"/>
    <col min="15879" max="15879" width="16.7109375" style="251" customWidth="1"/>
    <col min="15880" max="15883" width="0" style="251" hidden="1" customWidth="1"/>
    <col min="15884" max="15884" width="2.7109375" style="251" customWidth="1"/>
    <col min="15885" max="15885" width="11.7109375" style="251" customWidth="1"/>
    <col min="15886" max="15886" width="2.7109375" style="251" customWidth="1"/>
    <col min="15887" max="15887" width="65.42578125" style="251" customWidth="1"/>
    <col min="15888" max="16128" width="9.140625" style="251"/>
    <col min="16129" max="16129" width="1" style="251" customWidth="1"/>
    <col min="16130" max="16130" width="14.42578125" style="251" customWidth="1"/>
    <col min="16131" max="16131" width="57.7109375" style="251" customWidth="1"/>
    <col min="16132" max="16132" width="2.28515625" style="251" customWidth="1"/>
    <col min="16133" max="16133" width="14.28515625" style="251" customWidth="1"/>
    <col min="16134" max="16134" width="2.7109375" style="251" customWidth="1"/>
    <col min="16135" max="16135" width="16.7109375" style="251" customWidth="1"/>
    <col min="16136" max="16139" width="0" style="251" hidden="1" customWidth="1"/>
    <col min="16140" max="16140" width="2.7109375" style="251" customWidth="1"/>
    <col min="16141" max="16141" width="11.7109375" style="251" customWidth="1"/>
    <col min="16142" max="16142" width="2.7109375" style="251" customWidth="1"/>
    <col min="16143" max="16143" width="65.42578125" style="251" customWidth="1"/>
    <col min="16144" max="16384" width="9.140625" style="251"/>
  </cols>
  <sheetData>
    <row r="2" spans="1:16" x14ac:dyDescent="0.2">
      <c r="C2" s="250" t="s">
        <v>113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</row>
    <row r="3" spans="1:16" ht="3" customHeight="1" x14ac:dyDescent="0.2"/>
    <row r="4" spans="1:16" x14ac:dyDescent="0.2">
      <c r="C4" s="250" t="s">
        <v>251</v>
      </c>
      <c r="D4" s="250"/>
      <c r="E4" s="250"/>
      <c r="F4" s="250"/>
      <c r="G4" s="250"/>
      <c r="I4" s="250"/>
      <c r="K4" s="250"/>
      <c r="M4" s="250"/>
    </row>
    <row r="5" spans="1:16" x14ac:dyDescent="0.2">
      <c r="C5" s="250"/>
      <c r="D5" s="250"/>
      <c r="E5" s="250"/>
      <c r="F5" s="250"/>
      <c r="G5" s="250"/>
      <c r="I5" s="250"/>
      <c r="K5" s="250"/>
      <c r="M5" s="250"/>
    </row>
    <row r="6" spans="1:16" ht="15" customHeight="1" x14ac:dyDescent="0.2">
      <c r="B6" s="684" t="s">
        <v>114</v>
      </c>
      <c r="C6" s="684" t="s">
        <v>115</v>
      </c>
      <c r="D6" s="252"/>
      <c r="E6" s="253" t="s">
        <v>116</v>
      </c>
      <c r="F6" s="254"/>
      <c r="G6" s="253" t="s">
        <v>117</v>
      </c>
      <c r="I6" s="253" t="s">
        <v>118</v>
      </c>
      <c r="K6" s="253" t="s">
        <v>118</v>
      </c>
      <c r="M6" s="253" t="s">
        <v>119</v>
      </c>
      <c r="O6" s="253"/>
    </row>
    <row r="7" spans="1:16" ht="15" customHeight="1" x14ac:dyDescent="0.2">
      <c r="B7" s="685"/>
      <c r="C7" s="685"/>
      <c r="D7" s="255"/>
      <c r="E7" s="256">
        <v>2023</v>
      </c>
      <c r="F7" s="257"/>
      <c r="G7" s="258" t="s">
        <v>433</v>
      </c>
      <c r="I7" s="259" t="s">
        <v>120</v>
      </c>
      <c r="K7" s="259" t="s">
        <v>121</v>
      </c>
      <c r="M7" s="259" t="s">
        <v>122</v>
      </c>
      <c r="O7" s="259" t="s">
        <v>123</v>
      </c>
    </row>
    <row r="8" spans="1:16" ht="15" customHeight="1" x14ac:dyDescent="0.2">
      <c r="B8" s="260" t="s">
        <v>252</v>
      </c>
      <c r="C8" s="260" t="s">
        <v>124</v>
      </c>
      <c r="E8" s="261">
        <v>10000</v>
      </c>
      <c r="F8" s="262"/>
      <c r="G8" s="263">
        <f>3195+575+229+232+593+1275+2096.07+65.41+689.43+208.75+398+479.6+191.86+170+107+134+1079</f>
        <v>11718.12</v>
      </c>
      <c r="H8" s="264"/>
      <c r="I8" s="263"/>
      <c r="J8" s="264"/>
      <c r="K8" s="263">
        <f>G8+I8</f>
        <v>11718.12</v>
      </c>
      <c r="L8" s="264"/>
      <c r="M8" s="263">
        <f>E8-G8</f>
        <v>-1718.1200000000008</v>
      </c>
      <c r="N8" s="264"/>
      <c r="O8" s="265"/>
      <c r="P8" s="264"/>
    </row>
    <row r="9" spans="1:16" ht="15" customHeight="1" x14ac:dyDescent="0.2">
      <c r="B9" s="260" t="s">
        <v>253</v>
      </c>
      <c r="C9" s="266" t="s">
        <v>125</v>
      </c>
      <c r="E9" s="263">
        <v>16000</v>
      </c>
      <c r="F9" s="262"/>
      <c r="G9" s="263">
        <f>788.61+42+1906.52+190+691.95+1146-1026.65+112.5+112.5+540+59.39+1055+92+92+111.55+3166.94+207.07+16.11+203.18+450+255.31+1194+388.52+642+17.08+2.94+19.83+326.8+150+306.1+150+3144.36+240.58</f>
        <v>16794.190000000002</v>
      </c>
      <c r="H9" s="264"/>
      <c r="I9" s="263"/>
      <c r="J9" s="264"/>
      <c r="K9" s="263">
        <f>G9+I9</f>
        <v>16794.190000000002</v>
      </c>
      <c r="L9" s="264"/>
      <c r="M9" s="263">
        <f>E9-G9</f>
        <v>-794.19000000000233</v>
      </c>
      <c r="N9" s="264"/>
      <c r="O9" s="265"/>
      <c r="P9" s="264"/>
    </row>
    <row r="10" spans="1:16" s="264" customFormat="1" ht="15" customHeight="1" x14ac:dyDescent="0.2">
      <c r="A10" s="267"/>
      <c r="B10" s="260" t="s">
        <v>254</v>
      </c>
      <c r="C10" s="266" t="s">
        <v>255</v>
      </c>
      <c r="E10" s="263">
        <v>4500</v>
      </c>
      <c r="F10" s="268"/>
      <c r="G10" s="263">
        <f>668.5+472.5+148.97+16.67+3000+74+780</f>
        <v>5160.6400000000003</v>
      </c>
      <c r="I10" s="263"/>
      <c r="K10" s="263">
        <f t="shared" ref="K10:K24" si="0">G10+I10</f>
        <v>5160.6400000000003</v>
      </c>
      <c r="M10" s="263">
        <f t="shared" ref="M10:M24" si="1">E10-G10</f>
        <v>-660.64000000000033</v>
      </c>
      <c r="O10" s="266"/>
    </row>
    <row r="11" spans="1:16" s="264" customFormat="1" ht="15" customHeight="1" x14ac:dyDescent="0.2">
      <c r="A11" s="267"/>
      <c r="B11" s="260" t="s">
        <v>256</v>
      </c>
      <c r="C11" s="266" t="s">
        <v>126</v>
      </c>
      <c r="E11" s="263">
        <v>6500</v>
      </c>
      <c r="F11" s="268"/>
      <c r="G11" s="263">
        <f>411.4+408.4+175+367.75+183.16+1948.17+2106.54</f>
        <v>5600.42</v>
      </c>
      <c r="I11" s="263"/>
      <c r="K11" s="263">
        <f t="shared" si="0"/>
        <v>5600.42</v>
      </c>
      <c r="M11" s="263">
        <f t="shared" si="1"/>
        <v>899.57999999999993</v>
      </c>
      <c r="O11" s="265"/>
    </row>
    <row r="12" spans="1:16" s="264" customFormat="1" ht="15" customHeight="1" x14ac:dyDescent="0.2">
      <c r="A12" s="267"/>
      <c r="B12" s="260" t="s">
        <v>257</v>
      </c>
      <c r="C12" s="266" t="s">
        <v>258</v>
      </c>
      <c r="E12" s="263">
        <v>4500</v>
      </c>
      <c r="F12" s="268"/>
      <c r="G12" s="263">
        <f>6422.25+2557.78</f>
        <v>8980.0300000000007</v>
      </c>
      <c r="I12" s="263"/>
      <c r="K12" s="263">
        <f t="shared" si="0"/>
        <v>8980.0300000000007</v>
      </c>
      <c r="M12" s="263">
        <f t="shared" si="1"/>
        <v>-4480.0300000000007</v>
      </c>
      <c r="O12" s="265"/>
    </row>
    <row r="13" spans="1:16" s="264" customFormat="1" ht="15" customHeight="1" x14ac:dyDescent="0.2">
      <c r="A13" s="267"/>
      <c r="B13" s="260" t="s">
        <v>259</v>
      </c>
      <c r="C13" s="266" t="s">
        <v>127</v>
      </c>
      <c r="E13" s="263">
        <v>45000</v>
      </c>
      <c r="F13" s="268"/>
      <c r="G13" s="263">
        <f>2365.97+270+1269+12600+4785+4510.95+2434.32+6100+728.12</f>
        <v>35063.360000000008</v>
      </c>
      <c r="I13" s="263"/>
      <c r="K13" s="263">
        <f t="shared" si="0"/>
        <v>35063.360000000008</v>
      </c>
      <c r="M13" s="263">
        <f t="shared" si="1"/>
        <v>9936.6399999999921</v>
      </c>
      <c r="O13" s="266"/>
    </row>
    <row r="14" spans="1:16" s="264" customFormat="1" x14ac:dyDescent="0.2">
      <c r="A14" s="267"/>
      <c r="B14" s="260" t="s">
        <v>260</v>
      </c>
      <c r="C14" s="260" t="s">
        <v>128</v>
      </c>
      <c r="E14" s="263">
        <v>17000</v>
      </c>
      <c r="F14" s="268"/>
      <c r="G14" s="263">
        <f>3750+6683.44+2682.45+4477.6</f>
        <v>17593.489999999998</v>
      </c>
      <c r="I14" s="263"/>
      <c r="K14" s="263">
        <f t="shared" si="0"/>
        <v>17593.489999999998</v>
      </c>
      <c r="M14" s="263">
        <f t="shared" si="1"/>
        <v>-593.48999999999796</v>
      </c>
      <c r="O14" s="437"/>
    </row>
    <row r="15" spans="1:16" s="264" customFormat="1" ht="15" customHeight="1" x14ac:dyDescent="0.2">
      <c r="A15" s="267"/>
      <c r="B15" s="260" t="s">
        <v>261</v>
      </c>
      <c r="C15" s="260" t="s">
        <v>129</v>
      </c>
      <c r="E15" s="263">
        <v>6000</v>
      </c>
      <c r="G15" s="263">
        <f>940.01+2603.48</f>
        <v>3543.49</v>
      </c>
      <c r="I15" s="263"/>
      <c r="K15" s="263">
        <f t="shared" si="0"/>
        <v>3543.49</v>
      </c>
      <c r="M15" s="263">
        <f t="shared" si="1"/>
        <v>2456.5100000000002</v>
      </c>
      <c r="O15" s="266"/>
    </row>
    <row r="16" spans="1:16" s="264" customFormat="1" ht="17.25" customHeight="1" x14ac:dyDescent="0.2">
      <c r="A16" s="267"/>
      <c r="B16" s="260" t="s">
        <v>262</v>
      </c>
      <c r="C16" s="269" t="s">
        <v>263</v>
      </c>
      <c r="E16" s="270">
        <v>4300</v>
      </c>
      <c r="F16" s="271"/>
      <c r="G16" s="270">
        <f>3410.3+835.64</f>
        <v>4245.9400000000005</v>
      </c>
      <c r="I16" s="263"/>
      <c r="K16" s="263">
        <f t="shared" si="0"/>
        <v>4245.9400000000005</v>
      </c>
      <c r="M16" s="263">
        <f t="shared" si="1"/>
        <v>54.059999999999491</v>
      </c>
      <c r="O16" s="272"/>
    </row>
    <row r="17" spans="1:15" s="264" customFormat="1" ht="17.25" customHeight="1" x14ac:dyDescent="0.2">
      <c r="A17" s="267"/>
      <c r="B17" s="260" t="s">
        <v>264</v>
      </c>
      <c r="C17" s="269" t="s">
        <v>265</v>
      </c>
      <c r="E17" s="270">
        <v>5000</v>
      </c>
      <c r="F17" s="271"/>
      <c r="G17" s="270">
        <f>3151.47+1121.94+843.34+153.83</f>
        <v>5270.58</v>
      </c>
      <c r="I17" s="263"/>
      <c r="K17" s="263">
        <f t="shared" si="0"/>
        <v>5270.58</v>
      </c>
      <c r="M17" s="263">
        <f t="shared" si="1"/>
        <v>-270.57999999999993</v>
      </c>
      <c r="O17" s="272"/>
    </row>
    <row r="18" spans="1:15" s="264" customFormat="1" ht="15" customHeight="1" x14ac:dyDescent="0.2">
      <c r="A18" s="267"/>
      <c r="B18" s="260" t="s">
        <v>266</v>
      </c>
      <c r="C18" s="273" t="s">
        <v>267</v>
      </c>
      <c r="E18" s="270">
        <v>11000</v>
      </c>
      <c r="F18" s="268"/>
      <c r="G18" s="263">
        <f>2747.57+594.7+6754+2484.61</f>
        <v>12580.880000000001</v>
      </c>
      <c r="I18" s="263"/>
      <c r="K18" s="263">
        <f t="shared" si="0"/>
        <v>12580.880000000001</v>
      </c>
      <c r="M18" s="263">
        <f t="shared" si="1"/>
        <v>-1580.880000000001</v>
      </c>
      <c r="O18" s="265"/>
    </row>
    <row r="19" spans="1:15" s="264" customFormat="1" ht="15" customHeight="1" x14ac:dyDescent="0.2">
      <c r="A19" s="267"/>
      <c r="B19" s="260" t="s">
        <v>268</v>
      </c>
      <c r="C19" s="260" t="s">
        <v>269</v>
      </c>
      <c r="E19" s="263">
        <v>2500</v>
      </c>
      <c r="G19" s="263">
        <f>426+101.99+114.47+43.65+133.53+137.76+253+178.88+83.79+320.24+806.61+80.33</f>
        <v>2680.25</v>
      </c>
      <c r="I19" s="263"/>
      <c r="K19" s="263">
        <f t="shared" si="0"/>
        <v>2680.25</v>
      </c>
      <c r="M19" s="263">
        <f t="shared" si="1"/>
        <v>-180.25</v>
      </c>
      <c r="O19" s="265"/>
    </row>
    <row r="20" spans="1:15" s="264" customFormat="1" ht="15" customHeight="1" x14ac:dyDescent="0.2">
      <c r="A20" s="267"/>
      <c r="B20" s="260" t="s">
        <v>270</v>
      </c>
      <c r="C20" s="266" t="s">
        <v>271</v>
      </c>
      <c r="E20" s="263">
        <v>4000</v>
      </c>
      <c r="G20" s="263">
        <f>258.14+3739+201.87</f>
        <v>4199.01</v>
      </c>
      <c r="I20" s="263"/>
      <c r="K20" s="263">
        <f t="shared" si="0"/>
        <v>4199.01</v>
      </c>
      <c r="M20" s="263">
        <f t="shared" si="1"/>
        <v>-199.01000000000022</v>
      </c>
      <c r="O20" s="266"/>
    </row>
    <row r="21" spans="1:15" s="264" customFormat="1" ht="15" customHeight="1" x14ac:dyDescent="0.2">
      <c r="A21" s="267"/>
      <c r="B21" s="260" t="s">
        <v>272</v>
      </c>
      <c r="C21" s="266" t="s">
        <v>273</v>
      </c>
      <c r="E21" s="263">
        <v>15000</v>
      </c>
      <c r="G21" s="263">
        <f>700+4760+815.88</f>
        <v>6275.88</v>
      </c>
      <c r="I21" s="263"/>
      <c r="K21" s="263">
        <f t="shared" si="0"/>
        <v>6275.88</v>
      </c>
      <c r="M21" s="263">
        <f t="shared" si="1"/>
        <v>8724.119999999999</v>
      </c>
      <c r="O21" s="266"/>
    </row>
    <row r="22" spans="1:15" s="264" customFormat="1" ht="15" customHeight="1" x14ac:dyDescent="0.2">
      <c r="A22" s="267"/>
      <c r="B22" s="260" t="s">
        <v>274</v>
      </c>
      <c r="C22" s="266" t="s">
        <v>275</v>
      </c>
      <c r="E22" s="263">
        <v>5000</v>
      </c>
      <c r="G22" s="263">
        <f>4723.49+1243.83+1600</f>
        <v>7567.32</v>
      </c>
      <c r="I22" s="263"/>
      <c r="K22" s="263">
        <f t="shared" si="0"/>
        <v>7567.32</v>
      </c>
      <c r="M22" s="263">
        <f t="shared" si="1"/>
        <v>-2567.3199999999997</v>
      </c>
      <c r="O22" s="345"/>
    </row>
    <row r="23" spans="1:15" s="264" customFormat="1" ht="15" customHeight="1" x14ac:dyDescent="0.2">
      <c r="A23" s="267"/>
      <c r="B23" s="260" t="s">
        <v>276</v>
      </c>
      <c r="C23" s="266" t="s">
        <v>94</v>
      </c>
      <c r="E23" s="263">
        <v>15000</v>
      </c>
      <c r="G23" s="263">
        <f>3300+1559.08+2664.61+3000-3000</f>
        <v>7523.6900000000005</v>
      </c>
      <c r="I23" s="263"/>
      <c r="K23" s="263">
        <f t="shared" si="0"/>
        <v>7523.6900000000005</v>
      </c>
      <c r="M23" s="263">
        <f t="shared" si="1"/>
        <v>7476.3099999999995</v>
      </c>
      <c r="O23" s="260" t="s">
        <v>434</v>
      </c>
    </row>
    <row r="24" spans="1:15" s="264" customFormat="1" ht="15" customHeight="1" x14ac:dyDescent="0.2">
      <c r="A24" s="267"/>
      <c r="B24" s="260"/>
      <c r="C24" s="260" t="s">
        <v>435</v>
      </c>
      <c r="E24" s="270"/>
      <c r="G24" s="274">
        <v>-3000</v>
      </c>
      <c r="I24" s="263"/>
      <c r="K24" s="263">
        <f t="shared" si="0"/>
        <v>-3000</v>
      </c>
      <c r="M24" s="263">
        <f t="shared" si="1"/>
        <v>3000</v>
      </c>
      <c r="O24" s="266"/>
    </row>
    <row r="25" spans="1:15" s="264" customFormat="1" ht="15" customHeight="1" x14ac:dyDescent="0.2">
      <c r="A25" s="267"/>
      <c r="B25" s="260"/>
      <c r="C25" s="266"/>
      <c r="E25" s="263"/>
      <c r="G25" s="263"/>
      <c r="I25" s="263"/>
      <c r="K25" s="263">
        <f>G25+I25</f>
        <v>0</v>
      </c>
      <c r="M25" s="263">
        <f>K25-E25</f>
        <v>0</v>
      </c>
      <c r="O25" s="266"/>
    </row>
    <row r="26" spans="1:15" s="277" customFormat="1" ht="15" customHeight="1" x14ac:dyDescent="0.2">
      <c r="A26" s="275"/>
      <c r="B26" s="260"/>
      <c r="C26" s="276" t="s">
        <v>279</v>
      </c>
      <c r="E26" s="278">
        <f>SUM(E8:E25)</f>
        <v>171300</v>
      </c>
      <c r="G26" s="278">
        <f>SUM(G8:G25)</f>
        <v>151797.29000000004</v>
      </c>
      <c r="I26" s="278">
        <f>SUM(I8:I25)</f>
        <v>0</v>
      </c>
      <c r="K26" s="278">
        <f>SUM(K8:K25)</f>
        <v>151797.29000000004</v>
      </c>
      <c r="M26" s="278">
        <f>SUM(M8:M25)</f>
        <v>19502.709999999985</v>
      </c>
    </row>
    <row r="27" spans="1:15" ht="15" customHeight="1" x14ac:dyDescent="0.2">
      <c r="E27" s="279"/>
      <c r="F27" s="279"/>
      <c r="G27" s="279"/>
      <c r="I27" s="279"/>
      <c r="K27" s="279"/>
      <c r="M27" s="279"/>
    </row>
    <row r="28" spans="1:15" ht="15" customHeight="1" x14ac:dyDescent="0.2">
      <c r="E28" s="279"/>
      <c r="F28" s="279"/>
      <c r="G28" s="279"/>
      <c r="I28" s="280"/>
      <c r="K28" s="279"/>
      <c r="M28" s="279"/>
    </row>
    <row r="29" spans="1:15" ht="17.100000000000001" customHeight="1" x14ac:dyDescent="0.25">
      <c r="E29" s="279"/>
      <c r="F29" s="279"/>
      <c r="G29" s="279"/>
      <c r="I29" s="279"/>
      <c r="K29" s="279"/>
      <c r="M29" s="279"/>
      <c r="O29" s="281"/>
    </row>
  </sheetData>
  <mergeCells count="2">
    <mergeCell ref="B6:B7"/>
    <mergeCell ref="C6:C7"/>
  </mergeCells>
  <pageMargins left="1" right="1" top="1" bottom="1" header="0.5" footer="0.5"/>
  <pageSetup scale="59" orientation="landscape" r:id="rId1"/>
  <colBreaks count="1" manualBreakCount="1">
    <brk id="15" max="5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53016-43B6-48AF-95E8-4E8D8B9B82DC}">
  <sheetPr>
    <pageSetUpPr fitToPage="1"/>
  </sheetPr>
  <dimension ref="A2:Q22"/>
  <sheetViews>
    <sheetView zoomScale="106" zoomScaleNormal="106" workbookViewId="0">
      <selection activeCell="P17" sqref="P17"/>
    </sheetView>
  </sheetViews>
  <sheetFormatPr defaultColWidth="9.140625" defaultRowHeight="12.75" x14ac:dyDescent="0.2"/>
  <cols>
    <col min="1" max="1" width="1.7109375" style="249" customWidth="1"/>
    <col min="2" max="2" width="12.140625" style="249" customWidth="1"/>
    <col min="3" max="3" width="37.7109375" style="251" customWidth="1"/>
    <col min="4" max="4" width="3" style="251" customWidth="1"/>
    <col min="5" max="5" width="12.7109375" style="251" customWidth="1"/>
    <col min="6" max="6" width="2.42578125" style="251" customWidth="1"/>
    <col min="7" max="7" width="16.42578125" style="251" customWidth="1"/>
    <col min="8" max="8" width="2.7109375" style="251" hidden="1" customWidth="1"/>
    <col min="9" max="9" width="12.7109375" style="251" hidden="1" customWidth="1"/>
    <col min="10" max="10" width="2.7109375" style="283" hidden="1" customWidth="1"/>
    <col min="11" max="11" width="12.7109375" style="251" hidden="1" customWidth="1"/>
    <col min="12" max="12" width="2.7109375" style="283" customWidth="1"/>
    <col min="13" max="13" width="13.42578125" style="251" customWidth="1"/>
    <col min="14" max="14" width="2.7109375" style="283" hidden="1" customWidth="1"/>
    <col min="15" max="15" width="2.7109375" style="283" customWidth="1"/>
    <col min="16" max="16" width="59.5703125" style="251" customWidth="1"/>
    <col min="17" max="256" width="9.140625" style="251"/>
    <col min="257" max="257" width="1.7109375" style="251" customWidth="1"/>
    <col min="258" max="258" width="12.140625" style="251" customWidth="1"/>
    <col min="259" max="259" width="37.7109375" style="251" customWidth="1"/>
    <col min="260" max="260" width="3" style="251" customWidth="1"/>
    <col min="261" max="261" width="12.7109375" style="251" customWidth="1"/>
    <col min="262" max="262" width="2.42578125" style="251" customWidth="1"/>
    <col min="263" max="263" width="16.42578125" style="251" customWidth="1"/>
    <col min="264" max="267" width="0" style="251" hidden="1" customWidth="1"/>
    <col min="268" max="268" width="2.7109375" style="251" customWidth="1"/>
    <col min="269" max="269" width="13.42578125" style="251" customWidth="1"/>
    <col min="270" max="270" width="0" style="251" hidden="1" customWidth="1"/>
    <col min="271" max="271" width="2.7109375" style="251" customWidth="1"/>
    <col min="272" max="272" width="59.5703125" style="251" customWidth="1"/>
    <col min="273" max="512" width="9.140625" style="251"/>
    <col min="513" max="513" width="1.7109375" style="251" customWidth="1"/>
    <col min="514" max="514" width="12.140625" style="251" customWidth="1"/>
    <col min="515" max="515" width="37.7109375" style="251" customWidth="1"/>
    <col min="516" max="516" width="3" style="251" customWidth="1"/>
    <col min="517" max="517" width="12.7109375" style="251" customWidth="1"/>
    <col min="518" max="518" width="2.42578125" style="251" customWidth="1"/>
    <col min="519" max="519" width="16.42578125" style="251" customWidth="1"/>
    <col min="520" max="523" width="0" style="251" hidden="1" customWidth="1"/>
    <col min="524" max="524" width="2.7109375" style="251" customWidth="1"/>
    <col min="525" max="525" width="13.42578125" style="251" customWidth="1"/>
    <col min="526" max="526" width="0" style="251" hidden="1" customWidth="1"/>
    <col min="527" max="527" width="2.7109375" style="251" customWidth="1"/>
    <col min="528" max="528" width="59.5703125" style="251" customWidth="1"/>
    <col min="529" max="768" width="9.140625" style="251"/>
    <col min="769" max="769" width="1.7109375" style="251" customWidth="1"/>
    <col min="770" max="770" width="12.140625" style="251" customWidth="1"/>
    <col min="771" max="771" width="37.7109375" style="251" customWidth="1"/>
    <col min="772" max="772" width="3" style="251" customWidth="1"/>
    <col min="773" max="773" width="12.7109375" style="251" customWidth="1"/>
    <col min="774" max="774" width="2.42578125" style="251" customWidth="1"/>
    <col min="775" max="775" width="16.42578125" style="251" customWidth="1"/>
    <col min="776" max="779" width="0" style="251" hidden="1" customWidth="1"/>
    <col min="780" max="780" width="2.7109375" style="251" customWidth="1"/>
    <col min="781" max="781" width="13.42578125" style="251" customWidth="1"/>
    <col min="782" max="782" width="0" style="251" hidden="1" customWidth="1"/>
    <col min="783" max="783" width="2.7109375" style="251" customWidth="1"/>
    <col min="784" max="784" width="59.5703125" style="251" customWidth="1"/>
    <col min="785" max="1024" width="9.140625" style="251"/>
    <col min="1025" max="1025" width="1.7109375" style="251" customWidth="1"/>
    <col min="1026" max="1026" width="12.140625" style="251" customWidth="1"/>
    <col min="1027" max="1027" width="37.7109375" style="251" customWidth="1"/>
    <col min="1028" max="1028" width="3" style="251" customWidth="1"/>
    <col min="1029" max="1029" width="12.7109375" style="251" customWidth="1"/>
    <col min="1030" max="1030" width="2.42578125" style="251" customWidth="1"/>
    <col min="1031" max="1031" width="16.42578125" style="251" customWidth="1"/>
    <col min="1032" max="1035" width="0" style="251" hidden="1" customWidth="1"/>
    <col min="1036" max="1036" width="2.7109375" style="251" customWidth="1"/>
    <col min="1037" max="1037" width="13.42578125" style="251" customWidth="1"/>
    <col min="1038" max="1038" width="0" style="251" hidden="1" customWidth="1"/>
    <col min="1039" max="1039" width="2.7109375" style="251" customWidth="1"/>
    <col min="1040" max="1040" width="59.5703125" style="251" customWidth="1"/>
    <col min="1041" max="1280" width="9.140625" style="251"/>
    <col min="1281" max="1281" width="1.7109375" style="251" customWidth="1"/>
    <col min="1282" max="1282" width="12.140625" style="251" customWidth="1"/>
    <col min="1283" max="1283" width="37.7109375" style="251" customWidth="1"/>
    <col min="1284" max="1284" width="3" style="251" customWidth="1"/>
    <col min="1285" max="1285" width="12.7109375" style="251" customWidth="1"/>
    <col min="1286" max="1286" width="2.42578125" style="251" customWidth="1"/>
    <col min="1287" max="1287" width="16.42578125" style="251" customWidth="1"/>
    <col min="1288" max="1291" width="0" style="251" hidden="1" customWidth="1"/>
    <col min="1292" max="1292" width="2.7109375" style="251" customWidth="1"/>
    <col min="1293" max="1293" width="13.42578125" style="251" customWidth="1"/>
    <col min="1294" max="1294" width="0" style="251" hidden="1" customWidth="1"/>
    <col min="1295" max="1295" width="2.7109375" style="251" customWidth="1"/>
    <col min="1296" max="1296" width="59.5703125" style="251" customWidth="1"/>
    <col min="1297" max="1536" width="9.140625" style="251"/>
    <col min="1537" max="1537" width="1.7109375" style="251" customWidth="1"/>
    <col min="1538" max="1538" width="12.140625" style="251" customWidth="1"/>
    <col min="1539" max="1539" width="37.7109375" style="251" customWidth="1"/>
    <col min="1540" max="1540" width="3" style="251" customWidth="1"/>
    <col min="1541" max="1541" width="12.7109375" style="251" customWidth="1"/>
    <col min="1542" max="1542" width="2.42578125" style="251" customWidth="1"/>
    <col min="1543" max="1543" width="16.42578125" style="251" customWidth="1"/>
    <col min="1544" max="1547" width="0" style="251" hidden="1" customWidth="1"/>
    <col min="1548" max="1548" width="2.7109375" style="251" customWidth="1"/>
    <col min="1549" max="1549" width="13.42578125" style="251" customWidth="1"/>
    <col min="1550" max="1550" width="0" style="251" hidden="1" customWidth="1"/>
    <col min="1551" max="1551" width="2.7109375" style="251" customWidth="1"/>
    <col min="1552" max="1552" width="59.5703125" style="251" customWidth="1"/>
    <col min="1553" max="1792" width="9.140625" style="251"/>
    <col min="1793" max="1793" width="1.7109375" style="251" customWidth="1"/>
    <col min="1794" max="1794" width="12.140625" style="251" customWidth="1"/>
    <col min="1795" max="1795" width="37.7109375" style="251" customWidth="1"/>
    <col min="1796" max="1796" width="3" style="251" customWidth="1"/>
    <col min="1797" max="1797" width="12.7109375" style="251" customWidth="1"/>
    <col min="1798" max="1798" width="2.42578125" style="251" customWidth="1"/>
    <col min="1799" max="1799" width="16.42578125" style="251" customWidth="1"/>
    <col min="1800" max="1803" width="0" style="251" hidden="1" customWidth="1"/>
    <col min="1804" max="1804" width="2.7109375" style="251" customWidth="1"/>
    <col min="1805" max="1805" width="13.42578125" style="251" customWidth="1"/>
    <col min="1806" max="1806" width="0" style="251" hidden="1" customWidth="1"/>
    <col min="1807" max="1807" width="2.7109375" style="251" customWidth="1"/>
    <col min="1808" max="1808" width="59.5703125" style="251" customWidth="1"/>
    <col min="1809" max="2048" width="9.140625" style="251"/>
    <col min="2049" max="2049" width="1.7109375" style="251" customWidth="1"/>
    <col min="2050" max="2050" width="12.140625" style="251" customWidth="1"/>
    <col min="2051" max="2051" width="37.7109375" style="251" customWidth="1"/>
    <col min="2052" max="2052" width="3" style="251" customWidth="1"/>
    <col min="2053" max="2053" width="12.7109375" style="251" customWidth="1"/>
    <col min="2054" max="2054" width="2.42578125" style="251" customWidth="1"/>
    <col min="2055" max="2055" width="16.42578125" style="251" customWidth="1"/>
    <col min="2056" max="2059" width="0" style="251" hidden="1" customWidth="1"/>
    <col min="2060" max="2060" width="2.7109375" style="251" customWidth="1"/>
    <col min="2061" max="2061" width="13.42578125" style="251" customWidth="1"/>
    <col min="2062" max="2062" width="0" style="251" hidden="1" customWidth="1"/>
    <col min="2063" max="2063" width="2.7109375" style="251" customWidth="1"/>
    <col min="2064" max="2064" width="59.5703125" style="251" customWidth="1"/>
    <col min="2065" max="2304" width="9.140625" style="251"/>
    <col min="2305" max="2305" width="1.7109375" style="251" customWidth="1"/>
    <col min="2306" max="2306" width="12.140625" style="251" customWidth="1"/>
    <col min="2307" max="2307" width="37.7109375" style="251" customWidth="1"/>
    <col min="2308" max="2308" width="3" style="251" customWidth="1"/>
    <col min="2309" max="2309" width="12.7109375" style="251" customWidth="1"/>
    <col min="2310" max="2310" width="2.42578125" style="251" customWidth="1"/>
    <col min="2311" max="2311" width="16.42578125" style="251" customWidth="1"/>
    <col min="2312" max="2315" width="0" style="251" hidden="1" customWidth="1"/>
    <col min="2316" max="2316" width="2.7109375" style="251" customWidth="1"/>
    <col min="2317" max="2317" width="13.42578125" style="251" customWidth="1"/>
    <col min="2318" max="2318" width="0" style="251" hidden="1" customWidth="1"/>
    <col min="2319" max="2319" width="2.7109375" style="251" customWidth="1"/>
    <col min="2320" max="2320" width="59.5703125" style="251" customWidth="1"/>
    <col min="2321" max="2560" width="9.140625" style="251"/>
    <col min="2561" max="2561" width="1.7109375" style="251" customWidth="1"/>
    <col min="2562" max="2562" width="12.140625" style="251" customWidth="1"/>
    <col min="2563" max="2563" width="37.7109375" style="251" customWidth="1"/>
    <col min="2564" max="2564" width="3" style="251" customWidth="1"/>
    <col min="2565" max="2565" width="12.7109375" style="251" customWidth="1"/>
    <col min="2566" max="2566" width="2.42578125" style="251" customWidth="1"/>
    <col min="2567" max="2567" width="16.42578125" style="251" customWidth="1"/>
    <col min="2568" max="2571" width="0" style="251" hidden="1" customWidth="1"/>
    <col min="2572" max="2572" width="2.7109375" style="251" customWidth="1"/>
    <col min="2573" max="2573" width="13.42578125" style="251" customWidth="1"/>
    <col min="2574" max="2574" width="0" style="251" hidden="1" customWidth="1"/>
    <col min="2575" max="2575" width="2.7109375" style="251" customWidth="1"/>
    <col min="2576" max="2576" width="59.5703125" style="251" customWidth="1"/>
    <col min="2577" max="2816" width="9.140625" style="251"/>
    <col min="2817" max="2817" width="1.7109375" style="251" customWidth="1"/>
    <col min="2818" max="2818" width="12.140625" style="251" customWidth="1"/>
    <col min="2819" max="2819" width="37.7109375" style="251" customWidth="1"/>
    <col min="2820" max="2820" width="3" style="251" customWidth="1"/>
    <col min="2821" max="2821" width="12.7109375" style="251" customWidth="1"/>
    <col min="2822" max="2822" width="2.42578125" style="251" customWidth="1"/>
    <col min="2823" max="2823" width="16.42578125" style="251" customWidth="1"/>
    <col min="2824" max="2827" width="0" style="251" hidden="1" customWidth="1"/>
    <col min="2828" max="2828" width="2.7109375" style="251" customWidth="1"/>
    <col min="2829" max="2829" width="13.42578125" style="251" customWidth="1"/>
    <col min="2830" max="2830" width="0" style="251" hidden="1" customWidth="1"/>
    <col min="2831" max="2831" width="2.7109375" style="251" customWidth="1"/>
    <col min="2832" max="2832" width="59.5703125" style="251" customWidth="1"/>
    <col min="2833" max="3072" width="9.140625" style="251"/>
    <col min="3073" max="3073" width="1.7109375" style="251" customWidth="1"/>
    <col min="3074" max="3074" width="12.140625" style="251" customWidth="1"/>
    <col min="3075" max="3075" width="37.7109375" style="251" customWidth="1"/>
    <col min="3076" max="3076" width="3" style="251" customWidth="1"/>
    <col min="3077" max="3077" width="12.7109375" style="251" customWidth="1"/>
    <col min="3078" max="3078" width="2.42578125" style="251" customWidth="1"/>
    <col min="3079" max="3079" width="16.42578125" style="251" customWidth="1"/>
    <col min="3080" max="3083" width="0" style="251" hidden="1" customWidth="1"/>
    <col min="3084" max="3084" width="2.7109375" style="251" customWidth="1"/>
    <col min="3085" max="3085" width="13.42578125" style="251" customWidth="1"/>
    <col min="3086" max="3086" width="0" style="251" hidden="1" customWidth="1"/>
    <col min="3087" max="3087" width="2.7109375" style="251" customWidth="1"/>
    <col min="3088" max="3088" width="59.5703125" style="251" customWidth="1"/>
    <col min="3089" max="3328" width="9.140625" style="251"/>
    <col min="3329" max="3329" width="1.7109375" style="251" customWidth="1"/>
    <col min="3330" max="3330" width="12.140625" style="251" customWidth="1"/>
    <col min="3331" max="3331" width="37.7109375" style="251" customWidth="1"/>
    <col min="3332" max="3332" width="3" style="251" customWidth="1"/>
    <col min="3333" max="3333" width="12.7109375" style="251" customWidth="1"/>
    <col min="3334" max="3334" width="2.42578125" style="251" customWidth="1"/>
    <col min="3335" max="3335" width="16.42578125" style="251" customWidth="1"/>
    <col min="3336" max="3339" width="0" style="251" hidden="1" customWidth="1"/>
    <col min="3340" max="3340" width="2.7109375" style="251" customWidth="1"/>
    <col min="3341" max="3341" width="13.42578125" style="251" customWidth="1"/>
    <col min="3342" max="3342" width="0" style="251" hidden="1" customWidth="1"/>
    <col min="3343" max="3343" width="2.7109375" style="251" customWidth="1"/>
    <col min="3344" max="3344" width="59.5703125" style="251" customWidth="1"/>
    <col min="3345" max="3584" width="9.140625" style="251"/>
    <col min="3585" max="3585" width="1.7109375" style="251" customWidth="1"/>
    <col min="3586" max="3586" width="12.140625" style="251" customWidth="1"/>
    <col min="3587" max="3587" width="37.7109375" style="251" customWidth="1"/>
    <col min="3588" max="3588" width="3" style="251" customWidth="1"/>
    <col min="3589" max="3589" width="12.7109375" style="251" customWidth="1"/>
    <col min="3590" max="3590" width="2.42578125" style="251" customWidth="1"/>
    <col min="3591" max="3591" width="16.42578125" style="251" customWidth="1"/>
    <col min="3592" max="3595" width="0" style="251" hidden="1" customWidth="1"/>
    <col min="3596" max="3596" width="2.7109375" style="251" customWidth="1"/>
    <col min="3597" max="3597" width="13.42578125" style="251" customWidth="1"/>
    <col min="3598" max="3598" width="0" style="251" hidden="1" customWidth="1"/>
    <col min="3599" max="3599" width="2.7109375" style="251" customWidth="1"/>
    <col min="3600" max="3600" width="59.5703125" style="251" customWidth="1"/>
    <col min="3601" max="3840" width="9.140625" style="251"/>
    <col min="3841" max="3841" width="1.7109375" style="251" customWidth="1"/>
    <col min="3842" max="3842" width="12.140625" style="251" customWidth="1"/>
    <col min="3843" max="3843" width="37.7109375" style="251" customWidth="1"/>
    <col min="3844" max="3844" width="3" style="251" customWidth="1"/>
    <col min="3845" max="3845" width="12.7109375" style="251" customWidth="1"/>
    <col min="3846" max="3846" width="2.42578125" style="251" customWidth="1"/>
    <col min="3847" max="3847" width="16.42578125" style="251" customWidth="1"/>
    <col min="3848" max="3851" width="0" style="251" hidden="1" customWidth="1"/>
    <col min="3852" max="3852" width="2.7109375" style="251" customWidth="1"/>
    <col min="3853" max="3853" width="13.42578125" style="251" customWidth="1"/>
    <col min="3854" max="3854" width="0" style="251" hidden="1" customWidth="1"/>
    <col min="3855" max="3855" width="2.7109375" style="251" customWidth="1"/>
    <col min="3856" max="3856" width="59.5703125" style="251" customWidth="1"/>
    <col min="3857" max="4096" width="9.140625" style="251"/>
    <col min="4097" max="4097" width="1.7109375" style="251" customWidth="1"/>
    <col min="4098" max="4098" width="12.140625" style="251" customWidth="1"/>
    <col min="4099" max="4099" width="37.7109375" style="251" customWidth="1"/>
    <col min="4100" max="4100" width="3" style="251" customWidth="1"/>
    <col min="4101" max="4101" width="12.7109375" style="251" customWidth="1"/>
    <col min="4102" max="4102" width="2.42578125" style="251" customWidth="1"/>
    <col min="4103" max="4103" width="16.42578125" style="251" customWidth="1"/>
    <col min="4104" max="4107" width="0" style="251" hidden="1" customWidth="1"/>
    <col min="4108" max="4108" width="2.7109375" style="251" customWidth="1"/>
    <col min="4109" max="4109" width="13.42578125" style="251" customWidth="1"/>
    <col min="4110" max="4110" width="0" style="251" hidden="1" customWidth="1"/>
    <col min="4111" max="4111" width="2.7109375" style="251" customWidth="1"/>
    <col min="4112" max="4112" width="59.5703125" style="251" customWidth="1"/>
    <col min="4113" max="4352" width="9.140625" style="251"/>
    <col min="4353" max="4353" width="1.7109375" style="251" customWidth="1"/>
    <col min="4354" max="4354" width="12.140625" style="251" customWidth="1"/>
    <col min="4355" max="4355" width="37.7109375" style="251" customWidth="1"/>
    <col min="4356" max="4356" width="3" style="251" customWidth="1"/>
    <col min="4357" max="4357" width="12.7109375" style="251" customWidth="1"/>
    <col min="4358" max="4358" width="2.42578125" style="251" customWidth="1"/>
    <col min="4359" max="4359" width="16.42578125" style="251" customWidth="1"/>
    <col min="4360" max="4363" width="0" style="251" hidden="1" customWidth="1"/>
    <col min="4364" max="4364" width="2.7109375" style="251" customWidth="1"/>
    <col min="4365" max="4365" width="13.42578125" style="251" customWidth="1"/>
    <col min="4366" max="4366" width="0" style="251" hidden="1" customWidth="1"/>
    <col min="4367" max="4367" width="2.7109375" style="251" customWidth="1"/>
    <col min="4368" max="4368" width="59.5703125" style="251" customWidth="1"/>
    <col min="4369" max="4608" width="9.140625" style="251"/>
    <col min="4609" max="4609" width="1.7109375" style="251" customWidth="1"/>
    <col min="4610" max="4610" width="12.140625" style="251" customWidth="1"/>
    <col min="4611" max="4611" width="37.7109375" style="251" customWidth="1"/>
    <col min="4612" max="4612" width="3" style="251" customWidth="1"/>
    <col min="4613" max="4613" width="12.7109375" style="251" customWidth="1"/>
    <col min="4614" max="4614" width="2.42578125" style="251" customWidth="1"/>
    <col min="4615" max="4615" width="16.42578125" style="251" customWidth="1"/>
    <col min="4616" max="4619" width="0" style="251" hidden="1" customWidth="1"/>
    <col min="4620" max="4620" width="2.7109375" style="251" customWidth="1"/>
    <col min="4621" max="4621" width="13.42578125" style="251" customWidth="1"/>
    <col min="4622" max="4622" width="0" style="251" hidden="1" customWidth="1"/>
    <col min="4623" max="4623" width="2.7109375" style="251" customWidth="1"/>
    <col min="4624" max="4624" width="59.5703125" style="251" customWidth="1"/>
    <col min="4625" max="4864" width="9.140625" style="251"/>
    <col min="4865" max="4865" width="1.7109375" style="251" customWidth="1"/>
    <col min="4866" max="4866" width="12.140625" style="251" customWidth="1"/>
    <col min="4867" max="4867" width="37.7109375" style="251" customWidth="1"/>
    <col min="4868" max="4868" width="3" style="251" customWidth="1"/>
    <col min="4869" max="4869" width="12.7109375" style="251" customWidth="1"/>
    <col min="4870" max="4870" width="2.42578125" style="251" customWidth="1"/>
    <col min="4871" max="4871" width="16.42578125" style="251" customWidth="1"/>
    <col min="4872" max="4875" width="0" style="251" hidden="1" customWidth="1"/>
    <col min="4876" max="4876" width="2.7109375" style="251" customWidth="1"/>
    <col min="4877" max="4877" width="13.42578125" style="251" customWidth="1"/>
    <col min="4878" max="4878" width="0" style="251" hidden="1" customWidth="1"/>
    <col min="4879" max="4879" width="2.7109375" style="251" customWidth="1"/>
    <col min="4880" max="4880" width="59.5703125" style="251" customWidth="1"/>
    <col min="4881" max="5120" width="9.140625" style="251"/>
    <col min="5121" max="5121" width="1.7109375" style="251" customWidth="1"/>
    <col min="5122" max="5122" width="12.140625" style="251" customWidth="1"/>
    <col min="5123" max="5123" width="37.7109375" style="251" customWidth="1"/>
    <col min="5124" max="5124" width="3" style="251" customWidth="1"/>
    <col min="5125" max="5125" width="12.7109375" style="251" customWidth="1"/>
    <col min="5126" max="5126" width="2.42578125" style="251" customWidth="1"/>
    <col min="5127" max="5127" width="16.42578125" style="251" customWidth="1"/>
    <col min="5128" max="5131" width="0" style="251" hidden="1" customWidth="1"/>
    <col min="5132" max="5132" width="2.7109375" style="251" customWidth="1"/>
    <col min="5133" max="5133" width="13.42578125" style="251" customWidth="1"/>
    <col min="5134" max="5134" width="0" style="251" hidden="1" customWidth="1"/>
    <col min="5135" max="5135" width="2.7109375" style="251" customWidth="1"/>
    <col min="5136" max="5136" width="59.5703125" style="251" customWidth="1"/>
    <col min="5137" max="5376" width="9.140625" style="251"/>
    <col min="5377" max="5377" width="1.7109375" style="251" customWidth="1"/>
    <col min="5378" max="5378" width="12.140625" style="251" customWidth="1"/>
    <col min="5379" max="5379" width="37.7109375" style="251" customWidth="1"/>
    <col min="5380" max="5380" width="3" style="251" customWidth="1"/>
    <col min="5381" max="5381" width="12.7109375" style="251" customWidth="1"/>
    <col min="5382" max="5382" width="2.42578125" style="251" customWidth="1"/>
    <col min="5383" max="5383" width="16.42578125" style="251" customWidth="1"/>
    <col min="5384" max="5387" width="0" style="251" hidden="1" customWidth="1"/>
    <col min="5388" max="5388" width="2.7109375" style="251" customWidth="1"/>
    <col min="5389" max="5389" width="13.42578125" style="251" customWidth="1"/>
    <col min="5390" max="5390" width="0" style="251" hidden="1" customWidth="1"/>
    <col min="5391" max="5391" width="2.7109375" style="251" customWidth="1"/>
    <col min="5392" max="5392" width="59.5703125" style="251" customWidth="1"/>
    <col min="5393" max="5632" width="9.140625" style="251"/>
    <col min="5633" max="5633" width="1.7109375" style="251" customWidth="1"/>
    <col min="5634" max="5634" width="12.140625" style="251" customWidth="1"/>
    <col min="5635" max="5635" width="37.7109375" style="251" customWidth="1"/>
    <col min="5636" max="5636" width="3" style="251" customWidth="1"/>
    <col min="5637" max="5637" width="12.7109375" style="251" customWidth="1"/>
    <col min="5638" max="5638" width="2.42578125" style="251" customWidth="1"/>
    <col min="5639" max="5639" width="16.42578125" style="251" customWidth="1"/>
    <col min="5640" max="5643" width="0" style="251" hidden="1" customWidth="1"/>
    <col min="5644" max="5644" width="2.7109375" style="251" customWidth="1"/>
    <col min="5645" max="5645" width="13.42578125" style="251" customWidth="1"/>
    <col min="5646" max="5646" width="0" style="251" hidden="1" customWidth="1"/>
    <col min="5647" max="5647" width="2.7109375" style="251" customWidth="1"/>
    <col min="5648" max="5648" width="59.5703125" style="251" customWidth="1"/>
    <col min="5649" max="5888" width="9.140625" style="251"/>
    <col min="5889" max="5889" width="1.7109375" style="251" customWidth="1"/>
    <col min="5890" max="5890" width="12.140625" style="251" customWidth="1"/>
    <col min="5891" max="5891" width="37.7109375" style="251" customWidth="1"/>
    <col min="5892" max="5892" width="3" style="251" customWidth="1"/>
    <col min="5893" max="5893" width="12.7109375" style="251" customWidth="1"/>
    <col min="5894" max="5894" width="2.42578125" style="251" customWidth="1"/>
    <col min="5895" max="5895" width="16.42578125" style="251" customWidth="1"/>
    <col min="5896" max="5899" width="0" style="251" hidden="1" customWidth="1"/>
    <col min="5900" max="5900" width="2.7109375" style="251" customWidth="1"/>
    <col min="5901" max="5901" width="13.42578125" style="251" customWidth="1"/>
    <col min="5902" max="5902" width="0" style="251" hidden="1" customWidth="1"/>
    <col min="5903" max="5903" width="2.7109375" style="251" customWidth="1"/>
    <col min="5904" max="5904" width="59.5703125" style="251" customWidth="1"/>
    <col min="5905" max="6144" width="9.140625" style="251"/>
    <col min="6145" max="6145" width="1.7109375" style="251" customWidth="1"/>
    <col min="6146" max="6146" width="12.140625" style="251" customWidth="1"/>
    <col min="6147" max="6147" width="37.7109375" style="251" customWidth="1"/>
    <col min="6148" max="6148" width="3" style="251" customWidth="1"/>
    <col min="6149" max="6149" width="12.7109375" style="251" customWidth="1"/>
    <col min="6150" max="6150" width="2.42578125" style="251" customWidth="1"/>
    <col min="6151" max="6151" width="16.42578125" style="251" customWidth="1"/>
    <col min="6152" max="6155" width="0" style="251" hidden="1" customWidth="1"/>
    <col min="6156" max="6156" width="2.7109375" style="251" customWidth="1"/>
    <col min="6157" max="6157" width="13.42578125" style="251" customWidth="1"/>
    <col min="6158" max="6158" width="0" style="251" hidden="1" customWidth="1"/>
    <col min="6159" max="6159" width="2.7109375" style="251" customWidth="1"/>
    <col min="6160" max="6160" width="59.5703125" style="251" customWidth="1"/>
    <col min="6161" max="6400" width="9.140625" style="251"/>
    <col min="6401" max="6401" width="1.7109375" style="251" customWidth="1"/>
    <col min="6402" max="6402" width="12.140625" style="251" customWidth="1"/>
    <col min="6403" max="6403" width="37.7109375" style="251" customWidth="1"/>
    <col min="6404" max="6404" width="3" style="251" customWidth="1"/>
    <col min="6405" max="6405" width="12.7109375" style="251" customWidth="1"/>
    <col min="6406" max="6406" width="2.42578125" style="251" customWidth="1"/>
    <col min="6407" max="6407" width="16.42578125" style="251" customWidth="1"/>
    <col min="6408" max="6411" width="0" style="251" hidden="1" customWidth="1"/>
    <col min="6412" max="6412" width="2.7109375" style="251" customWidth="1"/>
    <col min="6413" max="6413" width="13.42578125" style="251" customWidth="1"/>
    <col min="6414" max="6414" width="0" style="251" hidden="1" customWidth="1"/>
    <col min="6415" max="6415" width="2.7109375" style="251" customWidth="1"/>
    <col min="6416" max="6416" width="59.5703125" style="251" customWidth="1"/>
    <col min="6417" max="6656" width="9.140625" style="251"/>
    <col min="6657" max="6657" width="1.7109375" style="251" customWidth="1"/>
    <col min="6658" max="6658" width="12.140625" style="251" customWidth="1"/>
    <col min="6659" max="6659" width="37.7109375" style="251" customWidth="1"/>
    <col min="6660" max="6660" width="3" style="251" customWidth="1"/>
    <col min="6661" max="6661" width="12.7109375" style="251" customWidth="1"/>
    <col min="6662" max="6662" width="2.42578125" style="251" customWidth="1"/>
    <col min="6663" max="6663" width="16.42578125" style="251" customWidth="1"/>
    <col min="6664" max="6667" width="0" style="251" hidden="1" customWidth="1"/>
    <col min="6668" max="6668" width="2.7109375" style="251" customWidth="1"/>
    <col min="6669" max="6669" width="13.42578125" style="251" customWidth="1"/>
    <col min="6670" max="6670" width="0" style="251" hidden="1" customWidth="1"/>
    <col min="6671" max="6671" width="2.7109375" style="251" customWidth="1"/>
    <col min="6672" max="6672" width="59.5703125" style="251" customWidth="1"/>
    <col min="6673" max="6912" width="9.140625" style="251"/>
    <col min="6913" max="6913" width="1.7109375" style="251" customWidth="1"/>
    <col min="6914" max="6914" width="12.140625" style="251" customWidth="1"/>
    <col min="6915" max="6915" width="37.7109375" style="251" customWidth="1"/>
    <col min="6916" max="6916" width="3" style="251" customWidth="1"/>
    <col min="6917" max="6917" width="12.7109375" style="251" customWidth="1"/>
    <col min="6918" max="6918" width="2.42578125" style="251" customWidth="1"/>
    <col min="6919" max="6919" width="16.42578125" style="251" customWidth="1"/>
    <col min="6920" max="6923" width="0" style="251" hidden="1" customWidth="1"/>
    <col min="6924" max="6924" width="2.7109375" style="251" customWidth="1"/>
    <col min="6925" max="6925" width="13.42578125" style="251" customWidth="1"/>
    <col min="6926" max="6926" width="0" style="251" hidden="1" customWidth="1"/>
    <col min="6927" max="6927" width="2.7109375" style="251" customWidth="1"/>
    <col min="6928" max="6928" width="59.5703125" style="251" customWidth="1"/>
    <col min="6929" max="7168" width="9.140625" style="251"/>
    <col min="7169" max="7169" width="1.7109375" style="251" customWidth="1"/>
    <col min="7170" max="7170" width="12.140625" style="251" customWidth="1"/>
    <col min="7171" max="7171" width="37.7109375" style="251" customWidth="1"/>
    <col min="7172" max="7172" width="3" style="251" customWidth="1"/>
    <col min="7173" max="7173" width="12.7109375" style="251" customWidth="1"/>
    <col min="7174" max="7174" width="2.42578125" style="251" customWidth="1"/>
    <col min="7175" max="7175" width="16.42578125" style="251" customWidth="1"/>
    <col min="7176" max="7179" width="0" style="251" hidden="1" customWidth="1"/>
    <col min="7180" max="7180" width="2.7109375" style="251" customWidth="1"/>
    <col min="7181" max="7181" width="13.42578125" style="251" customWidth="1"/>
    <col min="7182" max="7182" width="0" style="251" hidden="1" customWidth="1"/>
    <col min="7183" max="7183" width="2.7109375" style="251" customWidth="1"/>
    <col min="7184" max="7184" width="59.5703125" style="251" customWidth="1"/>
    <col min="7185" max="7424" width="9.140625" style="251"/>
    <col min="7425" max="7425" width="1.7109375" style="251" customWidth="1"/>
    <col min="7426" max="7426" width="12.140625" style="251" customWidth="1"/>
    <col min="7427" max="7427" width="37.7109375" style="251" customWidth="1"/>
    <col min="7428" max="7428" width="3" style="251" customWidth="1"/>
    <col min="7429" max="7429" width="12.7109375" style="251" customWidth="1"/>
    <col min="7430" max="7430" width="2.42578125" style="251" customWidth="1"/>
    <col min="7431" max="7431" width="16.42578125" style="251" customWidth="1"/>
    <col min="7432" max="7435" width="0" style="251" hidden="1" customWidth="1"/>
    <col min="7436" max="7436" width="2.7109375" style="251" customWidth="1"/>
    <col min="7437" max="7437" width="13.42578125" style="251" customWidth="1"/>
    <col min="7438" max="7438" width="0" style="251" hidden="1" customWidth="1"/>
    <col min="7439" max="7439" width="2.7109375" style="251" customWidth="1"/>
    <col min="7440" max="7440" width="59.5703125" style="251" customWidth="1"/>
    <col min="7441" max="7680" width="9.140625" style="251"/>
    <col min="7681" max="7681" width="1.7109375" style="251" customWidth="1"/>
    <col min="7682" max="7682" width="12.140625" style="251" customWidth="1"/>
    <col min="7683" max="7683" width="37.7109375" style="251" customWidth="1"/>
    <col min="7684" max="7684" width="3" style="251" customWidth="1"/>
    <col min="7685" max="7685" width="12.7109375" style="251" customWidth="1"/>
    <col min="7686" max="7686" width="2.42578125" style="251" customWidth="1"/>
    <col min="7687" max="7687" width="16.42578125" style="251" customWidth="1"/>
    <col min="7688" max="7691" width="0" style="251" hidden="1" customWidth="1"/>
    <col min="7692" max="7692" width="2.7109375" style="251" customWidth="1"/>
    <col min="7693" max="7693" width="13.42578125" style="251" customWidth="1"/>
    <col min="7694" max="7694" width="0" style="251" hidden="1" customWidth="1"/>
    <col min="7695" max="7695" width="2.7109375" style="251" customWidth="1"/>
    <col min="7696" max="7696" width="59.5703125" style="251" customWidth="1"/>
    <col min="7697" max="7936" width="9.140625" style="251"/>
    <col min="7937" max="7937" width="1.7109375" style="251" customWidth="1"/>
    <col min="7938" max="7938" width="12.140625" style="251" customWidth="1"/>
    <col min="7939" max="7939" width="37.7109375" style="251" customWidth="1"/>
    <col min="7940" max="7940" width="3" style="251" customWidth="1"/>
    <col min="7941" max="7941" width="12.7109375" style="251" customWidth="1"/>
    <col min="7942" max="7942" width="2.42578125" style="251" customWidth="1"/>
    <col min="7943" max="7943" width="16.42578125" style="251" customWidth="1"/>
    <col min="7944" max="7947" width="0" style="251" hidden="1" customWidth="1"/>
    <col min="7948" max="7948" width="2.7109375" style="251" customWidth="1"/>
    <col min="7949" max="7949" width="13.42578125" style="251" customWidth="1"/>
    <col min="7950" max="7950" width="0" style="251" hidden="1" customWidth="1"/>
    <col min="7951" max="7951" width="2.7109375" style="251" customWidth="1"/>
    <col min="7952" max="7952" width="59.5703125" style="251" customWidth="1"/>
    <col min="7953" max="8192" width="9.140625" style="251"/>
    <col min="8193" max="8193" width="1.7109375" style="251" customWidth="1"/>
    <col min="8194" max="8194" width="12.140625" style="251" customWidth="1"/>
    <col min="8195" max="8195" width="37.7109375" style="251" customWidth="1"/>
    <col min="8196" max="8196" width="3" style="251" customWidth="1"/>
    <col min="8197" max="8197" width="12.7109375" style="251" customWidth="1"/>
    <col min="8198" max="8198" width="2.42578125" style="251" customWidth="1"/>
    <col min="8199" max="8199" width="16.42578125" style="251" customWidth="1"/>
    <col min="8200" max="8203" width="0" style="251" hidden="1" customWidth="1"/>
    <col min="8204" max="8204" width="2.7109375" style="251" customWidth="1"/>
    <col min="8205" max="8205" width="13.42578125" style="251" customWidth="1"/>
    <col min="8206" max="8206" width="0" style="251" hidden="1" customWidth="1"/>
    <col min="8207" max="8207" width="2.7109375" style="251" customWidth="1"/>
    <col min="8208" max="8208" width="59.5703125" style="251" customWidth="1"/>
    <col min="8209" max="8448" width="9.140625" style="251"/>
    <col min="8449" max="8449" width="1.7109375" style="251" customWidth="1"/>
    <col min="8450" max="8450" width="12.140625" style="251" customWidth="1"/>
    <col min="8451" max="8451" width="37.7109375" style="251" customWidth="1"/>
    <col min="8452" max="8452" width="3" style="251" customWidth="1"/>
    <col min="8453" max="8453" width="12.7109375" style="251" customWidth="1"/>
    <col min="8454" max="8454" width="2.42578125" style="251" customWidth="1"/>
    <col min="8455" max="8455" width="16.42578125" style="251" customWidth="1"/>
    <col min="8456" max="8459" width="0" style="251" hidden="1" customWidth="1"/>
    <col min="8460" max="8460" width="2.7109375" style="251" customWidth="1"/>
    <col min="8461" max="8461" width="13.42578125" style="251" customWidth="1"/>
    <col min="8462" max="8462" width="0" style="251" hidden="1" customWidth="1"/>
    <col min="8463" max="8463" width="2.7109375" style="251" customWidth="1"/>
    <col min="8464" max="8464" width="59.5703125" style="251" customWidth="1"/>
    <col min="8465" max="8704" width="9.140625" style="251"/>
    <col min="8705" max="8705" width="1.7109375" style="251" customWidth="1"/>
    <col min="8706" max="8706" width="12.140625" style="251" customWidth="1"/>
    <col min="8707" max="8707" width="37.7109375" style="251" customWidth="1"/>
    <col min="8708" max="8708" width="3" style="251" customWidth="1"/>
    <col min="8709" max="8709" width="12.7109375" style="251" customWidth="1"/>
    <col min="8710" max="8710" width="2.42578125" style="251" customWidth="1"/>
    <col min="8711" max="8711" width="16.42578125" style="251" customWidth="1"/>
    <col min="8712" max="8715" width="0" style="251" hidden="1" customWidth="1"/>
    <col min="8716" max="8716" width="2.7109375" style="251" customWidth="1"/>
    <col min="8717" max="8717" width="13.42578125" style="251" customWidth="1"/>
    <col min="8718" max="8718" width="0" style="251" hidden="1" customWidth="1"/>
    <col min="8719" max="8719" width="2.7109375" style="251" customWidth="1"/>
    <col min="8720" max="8720" width="59.5703125" style="251" customWidth="1"/>
    <col min="8721" max="8960" width="9.140625" style="251"/>
    <col min="8961" max="8961" width="1.7109375" style="251" customWidth="1"/>
    <col min="8962" max="8962" width="12.140625" style="251" customWidth="1"/>
    <col min="8963" max="8963" width="37.7109375" style="251" customWidth="1"/>
    <col min="8964" max="8964" width="3" style="251" customWidth="1"/>
    <col min="8965" max="8965" width="12.7109375" style="251" customWidth="1"/>
    <col min="8966" max="8966" width="2.42578125" style="251" customWidth="1"/>
    <col min="8967" max="8967" width="16.42578125" style="251" customWidth="1"/>
    <col min="8968" max="8971" width="0" style="251" hidden="1" customWidth="1"/>
    <col min="8972" max="8972" width="2.7109375" style="251" customWidth="1"/>
    <col min="8973" max="8973" width="13.42578125" style="251" customWidth="1"/>
    <col min="8974" max="8974" width="0" style="251" hidden="1" customWidth="1"/>
    <col min="8975" max="8975" width="2.7109375" style="251" customWidth="1"/>
    <col min="8976" max="8976" width="59.5703125" style="251" customWidth="1"/>
    <col min="8977" max="9216" width="9.140625" style="251"/>
    <col min="9217" max="9217" width="1.7109375" style="251" customWidth="1"/>
    <col min="9218" max="9218" width="12.140625" style="251" customWidth="1"/>
    <col min="9219" max="9219" width="37.7109375" style="251" customWidth="1"/>
    <col min="9220" max="9220" width="3" style="251" customWidth="1"/>
    <col min="9221" max="9221" width="12.7109375" style="251" customWidth="1"/>
    <col min="9222" max="9222" width="2.42578125" style="251" customWidth="1"/>
    <col min="9223" max="9223" width="16.42578125" style="251" customWidth="1"/>
    <col min="9224" max="9227" width="0" style="251" hidden="1" customWidth="1"/>
    <col min="9228" max="9228" width="2.7109375" style="251" customWidth="1"/>
    <col min="9229" max="9229" width="13.42578125" style="251" customWidth="1"/>
    <col min="9230" max="9230" width="0" style="251" hidden="1" customWidth="1"/>
    <col min="9231" max="9231" width="2.7109375" style="251" customWidth="1"/>
    <col min="9232" max="9232" width="59.5703125" style="251" customWidth="1"/>
    <col min="9233" max="9472" width="9.140625" style="251"/>
    <col min="9473" max="9473" width="1.7109375" style="251" customWidth="1"/>
    <col min="9474" max="9474" width="12.140625" style="251" customWidth="1"/>
    <col min="9475" max="9475" width="37.7109375" style="251" customWidth="1"/>
    <col min="9476" max="9476" width="3" style="251" customWidth="1"/>
    <col min="9477" max="9477" width="12.7109375" style="251" customWidth="1"/>
    <col min="9478" max="9478" width="2.42578125" style="251" customWidth="1"/>
    <col min="9479" max="9479" width="16.42578125" style="251" customWidth="1"/>
    <col min="9480" max="9483" width="0" style="251" hidden="1" customWidth="1"/>
    <col min="9484" max="9484" width="2.7109375" style="251" customWidth="1"/>
    <col min="9485" max="9485" width="13.42578125" style="251" customWidth="1"/>
    <col min="9486" max="9486" width="0" style="251" hidden="1" customWidth="1"/>
    <col min="9487" max="9487" width="2.7109375" style="251" customWidth="1"/>
    <col min="9488" max="9488" width="59.5703125" style="251" customWidth="1"/>
    <col min="9489" max="9728" width="9.140625" style="251"/>
    <col min="9729" max="9729" width="1.7109375" style="251" customWidth="1"/>
    <col min="9730" max="9730" width="12.140625" style="251" customWidth="1"/>
    <col min="9731" max="9731" width="37.7109375" style="251" customWidth="1"/>
    <col min="9732" max="9732" width="3" style="251" customWidth="1"/>
    <col min="9733" max="9733" width="12.7109375" style="251" customWidth="1"/>
    <col min="9734" max="9734" width="2.42578125" style="251" customWidth="1"/>
    <col min="9735" max="9735" width="16.42578125" style="251" customWidth="1"/>
    <col min="9736" max="9739" width="0" style="251" hidden="1" customWidth="1"/>
    <col min="9740" max="9740" width="2.7109375" style="251" customWidth="1"/>
    <col min="9741" max="9741" width="13.42578125" style="251" customWidth="1"/>
    <col min="9742" max="9742" width="0" style="251" hidden="1" customWidth="1"/>
    <col min="9743" max="9743" width="2.7109375" style="251" customWidth="1"/>
    <col min="9744" max="9744" width="59.5703125" style="251" customWidth="1"/>
    <col min="9745" max="9984" width="9.140625" style="251"/>
    <col min="9985" max="9985" width="1.7109375" style="251" customWidth="1"/>
    <col min="9986" max="9986" width="12.140625" style="251" customWidth="1"/>
    <col min="9987" max="9987" width="37.7109375" style="251" customWidth="1"/>
    <col min="9988" max="9988" width="3" style="251" customWidth="1"/>
    <col min="9989" max="9989" width="12.7109375" style="251" customWidth="1"/>
    <col min="9990" max="9990" width="2.42578125" style="251" customWidth="1"/>
    <col min="9991" max="9991" width="16.42578125" style="251" customWidth="1"/>
    <col min="9992" max="9995" width="0" style="251" hidden="1" customWidth="1"/>
    <col min="9996" max="9996" width="2.7109375" style="251" customWidth="1"/>
    <col min="9997" max="9997" width="13.42578125" style="251" customWidth="1"/>
    <col min="9998" max="9998" width="0" style="251" hidden="1" customWidth="1"/>
    <col min="9999" max="9999" width="2.7109375" style="251" customWidth="1"/>
    <col min="10000" max="10000" width="59.5703125" style="251" customWidth="1"/>
    <col min="10001" max="10240" width="9.140625" style="251"/>
    <col min="10241" max="10241" width="1.7109375" style="251" customWidth="1"/>
    <col min="10242" max="10242" width="12.140625" style="251" customWidth="1"/>
    <col min="10243" max="10243" width="37.7109375" style="251" customWidth="1"/>
    <col min="10244" max="10244" width="3" style="251" customWidth="1"/>
    <col min="10245" max="10245" width="12.7109375" style="251" customWidth="1"/>
    <col min="10246" max="10246" width="2.42578125" style="251" customWidth="1"/>
    <col min="10247" max="10247" width="16.42578125" style="251" customWidth="1"/>
    <col min="10248" max="10251" width="0" style="251" hidden="1" customWidth="1"/>
    <col min="10252" max="10252" width="2.7109375" style="251" customWidth="1"/>
    <col min="10253" max="10253" width="13.42578125" style="251" customWidth="1"/>
    <col min="10254" max="10254" width="0" style="251" hidden="1" customWidth="1"/>
    <col min="10255" max="10255" width="2.7109375" style="251" customWidth="1"/>
    <col min="10256" max="10256" width="59.5703125" style="251" customWidth="1"/>
    <col min="10257" max="10496" width="9.140625" style="251"/>
    <col min="10497" max="10497" width="1.7109375" style="251" customWidth="1"/>
    <col min="10498" max="10498" width="12.140625" style="251" customWidth="1"/>
    <col min="10499" max="10499" width="37.7109375" style="251" customWidth="1"/>
    <col min="10500" max="10500" width="3" style="251" customWidth="1"/>
    <col min="10501" max="10501" width="12.7109375" style="251" customWidth="1"/>
    <col min="10502" max="10502" width="2.42578125" style="251" customWidth="1"/>
    <col min="10503" max="10503" width="16.42578125" style="251" customWidth="1"/>
    <col min="10504" max="10507" width="0" style="251" hidden="1" customWidth="1"/>
    <col min="10508" max="10508" width="2.7109375" style="251" customWidth="1"/>
    <col min="10509" max="10509" width="13.42578125" style="251" customWidth="1"/>
    <col min="10510" max="10510" width="0" style="251" hidden="1" customWidth="1"/>
    <col min="10511" max="10511" width="2.7109375" style="251" customWidth="1"/>
    <col min="10512" max="10512" width="59.5703125" style="251" customWidth="1"/>
    <col min="10513" max="10752" width="9.140625" style="251"/>
    <col min="10753" max="10753" width="1.7109375" style="251" customWidth="1"/>
    <col min="10754" max="10754" width="12.140625" style="251" customWidth="1"/>
    <col min="10755" max="10755" width="37.7109375" style="251" customWidth="1"/>
    <col min="10756" max="10756" width="3" style="251" customWidth="1"/>
    <col min="10757" max="10757" width="12.7109375" style="251" customWidth="1"/>
    <col min="10758" max="10758" width="2.42578125" style="251" customWidth="1"/>
    <col min="10759" max="10759" width="16.42578125" style="251" customWidth="1"/>
    <col min="10760" max="10763" width="0" style="251" hidden="1" customWidth="1"/>
    <col min="10764" max="10764" width="2.7109375" style="251" customWidth="1"/>
    <col min="10765" max="10765" width="13.42578125" style="251" customWidth="1"/>
    <col min="10766" max="10766" width="0" style="251" hidden="1" customWidth="1"/>
    <col min="10767" max="10767" width="2.7109375" style="251" customWidth="1"/>
    <col min="10768" max="10768" width="59.5703125" style="251" customWidth="1"/>
    <col min="10769" max="11008" width="9.140625" style="251"/>
    <col min="11009" max="11009" width="1.7109375" style="251" customWidth="1"/>
    <col min="11010" max="11010" width="12.140625" style="251" customWidth="1"/>
    <col min="11011" max="11011" width="37.7109375" style="251" customWidth="1"/>
    <col min="11012" max="11012" width="3" style="251" customWidth="1"/>
    <col min="11013" max="11013" width="12.7109375" style="251" customWidth="1"/>
    <col min="11014" max="11014" width="2.42578125" style="251" customWidth="1"/>
    <col min="11015" max="11015" width="16.42578125" style="251" customWidth="1"/>
    <col min="11016" max="11019" width="0" style="251" hidden="1" customWidth="1"/>
    <col min="11020" max="11020" width="2.7109375" style="251" customWidth="1"/>
    <col min="11021" max="11021" width="13.42578125" style="251" customWidth="1"/>
    <col min="11022" max="11022" width="0" style="251" hidden="1" customWidth="1"/>
    <col min="11023" max="11023" width="2.7109375" style="251" customWidth="1"/>
    <col min="11024" max="11024" width="59.5703125" style="251" customWidth="1"/>
    <col min="11025" max="11264" width="9.140625" style="251"/>
    <col min="11265" max="11265" width="1.7109375" style="251" customWidth="1"/>
    <col min="11266" max="11266" width="12.140625" style="251" customWidth="1"/>
    <col min="11267" max="11267" width="37.7109375" style="251" customWidth="1"/>
    <col min="11268" max="11268" width="3" style="251" customWidth="1"/>
    <col min="11269" max="11269" width="12.7109375" style="251" customWidth="1"/>
    <col min="11270" max="11270" width="2.42578125" style="251" customWidth="1"/>
    <col min="11271" max="11271" width="16.42578125" style="251" customWidth="1"/>
    <col min="11272" max="11275" width="0" style="251" hidden="1" customWidth="1"/>
    <col min="11276" max="11276" width="2.7109375" style="251" customWidth="1"/>
    <col min="11277" max="11277" width="13.42578125" style="251" customWidth="1"/>
    <col min="11278" max="11278" width="0" style="251" hidden="1" customWidth="1"/>
    <col min="11279" max="11279" width="2.7109375" style="251" customWidth="1"/>
    <col min="11280" max="11280" width="59.5703125" style="251" customWidth="1"/>
    <col min="11281" max="11520" width="9.140625" style="251"/>
    <col min="11521" max="11521" width="1.7109375" style="251" customWidth="1"/>
    <col min="11522" max="11522" width="12.140625" style="251" customWidth="1"/>
    <col min="11523" max="11523" width="37.7109375" style="251" customWidth="1"/>
    <col min="11524" max="11524" width="3" style="251" customWidth="1"/>
    <col min="11525" max="11525" width="12.7109375" style="251" customWidth="1"/>
    <col min="11526" max="11526" width="2.42578125" style="251" customWidth="1"/>
    <col min="11527" max="11527" width="16.42578125" style="251" customWidth="1"/>
    <col min="11528" max="11531" width="0" style="251" hidden="1" customWidth="1"/>
    <col min="11532" max="11532" width="2.7109375" style="251" customWidth="1"/>
    <col min="11533" max="11533" width="13.42578125" style="251" customWidth="1"/>
    <col min="11534" max="11534" width="0" style="251" hidden="1" customWidth="1"/>
    <col min="11535" max="11535" width="2.7109375" style="251" customWidth="1"/>
    <col min="11536" max="11536" width="59.5703125" style="251" customWidth="1"/>
    <col min="11537" max="11776" width="9.140625" style="251"/>
    <col min="11777" max="11777" width="1.7109375" style="251" customWidth="1"/>
    <col min="11778" max="11778" width="12.140625" style="251" customWidth="1"/>
    <col min="11779" max="11779" width="37.7109375" style="251" customWidth="1"/>
    <col min="11780" max="11780" width="3" style="251" customWidth="1"/>
    <col min="11781" max="11781" width="12.7109375" style="251" customWidth="1"/>
    <col min="11782" max="11782" width="2.42578125" style="251" customWidth="1"/>
    <col min="11783" max="11783" width="16.42578125" style="251" customWidth="1"/>
    <col min="11784" max="11787" width="0" style="251" hidden="1" customWidth="1"/>
    <col min="11788" max="11788" width="2.7109375" style="251" customWidth="1"/>
    <col min="11789" max="11789" width="13.42578125" style="251" customWidth="1"/>
    <col min="11790" max="11790" width="0" style="251" hidden="1" customWidth="1"/>
    <col min="11791" max="11791" width="2.7109375" style="251" customWidth="1"/>
    <col min="11792" max="11792" width="59.5703125" style="251" customWidth="1"/>
    <col min="11793" max="12032" width="9.140625" style="251"/>
    <col min="12033" max="12033" width="1.7109375" style="251" customWidth="1"/>
    <col min="12034" max="12034" width="12.140625" style="251" customWidth="1"/>
    <col min="12035" max="12035" width="37.7109375" style="251" customWidth="1"/>
    <col min="12036" max="12036" width="3" style="251" customWidth="1"/>
    <col min="12037" max="12037" width="12.7109375" style="251" customWidth="1"/>
    <col min="12038" max="12038" width="2.42578125" style="251" customWidth="1"/>
    <col min="12039" max="12039" width="16.42578125" style="251" customWidth="1"/>
    <col min="12040" max="12043" width="0" style="251" hidden="1" customWidth="1"/>
    <col min="12044" max="12044" width="2.7109375" style="251" customWidth="1"/>
    <col min="12045" max="12045" width="13.42578125" style="251" customWidth="1"/>
    <col min="12046" max="12046" width="0" style="251" hidden="1" customWidth="1"/>
    <col min="12047" max="12047" width="2.7109375" style="251" customWidth="1"/>
    <col min="12048" max="12048" width="59.5703125" style="251" customWidth="1"/>
    <col min="12049" max="12288" width="9.140625" style="251"/>
    <col min="12289" max="12289" width="1.7109375" style="251" customWidth="1"/>
    <col min="12290" max="12290" width="12.140625" style="251" customWidth="1"/>
    <col min="12291" max="12291" width="37.7109375" style="251" customWidth="1"/>
    <col min="12292" max="12292" width="3" style="251" customWidth="1"/>
    <col min="12293" max="12293" width="12.7109375" style="251" customWidth="1"/>
    <col min="12294" max="12294" width="2.42578125" style="251" customWidth="1"/>
    <col min="12295" max="12295" width="16.42578125" style="251" customWidth="1"/>
    <col min="12296" max="12299" width="0" style="251" hidden="1" customWidth="1"/>
    <col min="12300" max="12300" width="2.7109375" style="251" customWidth="1"/>
    <col min="12301" max="12301" width="13.42578125" style="251" customWidth="1"/>
    <col min="12302" max="12302" width="0" style="251" hidden="1" customWidth="1"/>
    <col min="12303" max="12303" width="2.7109375" style="251" customWidth="1"/>
    <col min="12304" max="12304" width="59.5703125" style="251" customWidth="1"/>
    <col min="12305" max="12544" width="9.140625" style="251"/>
    <col min="12545" max="12545" width="1.7109375" style="251" customWidth="1"/>
    <col min="12546" max="12546" width="12.140625" style="251" customWidth="1"/>
    <col min="12547" max="12547" width="37.7109375" style="251" customWidth="1"/>
    <col min="12548" max="12548" width="3" style="251" customWidth="1"/>
    <col min="12549" max="12549" width="12.7109375" style="251" customWidth="1"/>
    <col min="12550" max="12550" width="2.42578125" style="251" customWidth="1"/>
    <col min="12551" max="12551" width="16.42578125" style="251" customWidth="1"/>
    <col min="12552" max="12555" width="0" style="251" hidden="1" customWidth="1"/>
    <col min="12556" max="12556" width="2.7109375" style="251" customWidth="1"/>
    <col min="12557" max="12557" width="13.42578125" style="251" customWidth="1"/>
    <col min="12558" max="12558" width="0" style="251" hidden="1" customWidth="1"/>
    <col min="12559" max="12559" width="2.7109375" style="251" customWidth="1"/>
    <col min="12560" max="12560" width="59.5703125" style="251" customWidth="1"/>
    <col min="12561" max="12800" width="9.140625" style="251"/>
    <col min="12801" max="12801" width="1.7109375" style="251" customWidth="1"/>
    <col min="12802" max="12802" width="12.140625" style="251" customWidth="1"/>
    <col min="12803" max="12803" width="37.7109375" style="251" customWidth="1"/>
    <col min="12804" max="12804" width="3" style="251" customWidth="1"/>
    <col min="12805" max="12805" width="12.7109375" style="251" customWidth="1"/>
    <col min="12806" max="12806" width="2.42578125" style="251" customWidth="1"/>
    <col min="12807" max="12807" width="16.42578125" style="251" customWidth="1"/>
    <col min="12808" max="12811" width="0" style="251" hidden="1" customWidth="1"/>
    <col min="12812" max="12812" width="2.7109375" style="251" customWidth="1"/>
    <col min="12813" max="12813" width="13.42578125" style="251" customWidth="1"/>
    <col min="12814" max="12814" width="0" style="251" hidden="1" customWidth="1"/>
    <col min="12815" max="12815" width="2.7109375" style="251" customWidth="1"/>
    <col min="12816" max="12816" width="59.5703125" style="251" customWidth="1"/>
    <col min="12817" max="13056" width="9.140625" style="251"/>
    <col min="13057" max="13057" width="1.7109375" style="251" customWidth="1"/>
    <col min="13058" max="13058" width="12.140625" style="251" customWidth="1"/>
    <col min="13059" max="13059" width="37.7109375" style="251" customWidth="1"/>
    <col min="13060" max="13060" width="3" style="251" customWidth="1"/>
    <col min="13061" max="13061" width="12.7109375" style="251" customWidth="1"/>
    <col min="13062" max="13062" width="2.42578125" style="251" customWidth="1"/>
    <col min="13063" max="13063" width="16.42578125" style="251" customWidth="1"/>
    <col min="13064" max="13067" width="0" style="251" hidden="1" customWidth="1"/>
    <col min="13068" max="13068" width="2.7109375" style="251" customWidth="1"/>
    <col min="13069" max="13069" width="13.42578125" style="251" customWidth="1"/>
    <col min="13070" max="13070" width="0" style="251" hidden="1" customWidth="1"/>
    <col min="13071" max="13071" width="2.7109375" style="251" customWidth="1"/>
    <col min="13072" max="13072" width="59.5703125" style="251" customWidth="1"/>
    <col min="13073" max="13312" width="9.140625" style="251"/>
    <col min="13313" max="13313" width="1.7109375" style="251" customWidth="1"/>
    <col min="13314" max="13314" width="12.140625" style="251" customWidth="1"/>
    <col min="13315" max="13315" width="37.7109375" style="251" customWidth="1"/>
    <col min="13316" max="13316" width="3" style="251" customWidth="1"/>
    <col min="13317" max="13317" width="12.7109375" style="251" customWidth="1"/>
    <col min="13318" max="13318" width="2.42578125" style="251" customWidth="1"/>
    <col min="13319" max="13319" width="16.42578125" style="251" customWidth="1"/>
    <col min="13320" max="13323" width="0" style="251" hidden="1" customWidth="1"/>
    <col min="13324" max="13324" width="2.7109375" style="251" customWidth="1"/>
    <col min="13325" max="13325" width="13.42578125" style="251" customWidth="1"/>
    <col min="13326" max="13326" width="0" style="251" hidden="1" customWidth="1"/>
    <col min="13327" max="13327" width="2.7109375" style="251" customWidth="1"/>
    <col min="13328" max="13328" width="59.5703125" style="251" customWidth="1"/>
    <col min="13329" max="13568" width="9.140625" style="251"/>
    <col min="13569" max="13569" width="1.7109375" style="251" customWidth="1"/>
    <col min="13570" max="13570" width="12.140625" style="251" customWidth="1"/>
    <col min="13571" max="13571" width="37.7109375" style="251" customWidth="1"/>
    <col min="13572" max="13572" width="3" style="251" customWidth="1"/>
    <col min="13573" max="13573" width="12.7109375" style="251" customWidth="1"/>
    <col min="13574" max="13574" width="2.42578125" style="251" customWidth="1"/>
    <col min="13575" max="13575" width="16.42578125" style="251" customWidth="1"/>
    <col min="13576" max="13579" width="0" style="251" hidden="1" customWidth="1"/>
    <col min="13580" max="13580" width="2.7109375" style="251" customWidth="1"/>
    <col min="13581" max="13581" width="13.42578125" style="251" customWidth="1"/>
    <col min="13582" max="13582" width="0" style="251" hidden="1" customWidth="1"/>
    <col min="13583" max="13583" width="2.7109375" style="251" customWidth="1"/>
    <col min="13584" max="13584" width="59.5703125" style="251" customWidth="1"/>
    <col min="13585" max="13824" width="9.140625" style="251"/>
    <col min="13825" max="13825" width="1.7109375" style="251" customWidth="1"/>
    <col min="13826" max="13826" width="12.140625" style="251" customWidth="1"/>
    <col min="13827" max="13827" width="37.7109375" style="251" customWidth="1"/>
    <col min="13828" max="13828" width="3" style="251" customWidth="1"/>
    <col min="13829" max="13829" width="12.7109375" style="251" customWidth="1"/>
    <col min="13830" max="13830" width="2.42578125" style="251" customWidth="1"/>
    <col min="13831" max="13831" width="16.42578125" style="251" customWidth="1"/>
    <col min="13832" max="13835" width="0" style="251" hidden="1" customWidth="1"/>
    <col min="13836" max="13836" width="2.7109375" style="251" customWidth="1"/>
    <col min="13837" max="13837" width="13.42578125" style="251" customWidth="1"/>
    <col min="13838" max="13838" width="0" style="251" hidden="1" customWidth="1"/>
    <col min="13839" max="13839" width="2.7109375" style="251" customWidth="1"/>
    <col min="13840" max="13840" width="59.5703125" style="251" customWidth="1"/>
    <col min="13841" max="14080" width="9.140625" style="251"/>
    <col min="14081" max="14081" width="1.7109375" style="251" customWidth="1"/>
    <col min="14082" max="14082" width="12.140625" style="251" customWidth="1"/>
    <col min="14083" max="14083" width="37.7109375" style="251" customWidth="1"/>
    <col min="14084" max="14084" width="3" style="251" customWidth="1"/>
    <col min="14085" max="14085" width="12.7109375" style="251" customWidth="1"/>
    <col min="14086" max="14086" width="2.42578125" style="251" customWidth="1"/>
    <col min="14087" max="14087" width="16.42578125" style="251" customWidth="1"/>
    <col min="14088" max="14091" width="0" style="251" hidden="1" customWidth="1"/>
    <col min="14092" max="14092" width="2.7109375" style="251" customWidth="1"/>
    <col min="14093" max="14093" width="13.42578125" style="251" customWidth="1"/>
    <col min="14094" max="14094" width="0" style="251" hidden="1" customWidth="1"/>
    <col min="14095" max="14095" width="2.7109375" style="251" customWidth="1"/>
    <col min="14096" max="14096" width="59.5703125" style="251" customWidth="1"/>
    <col min="14097" max="14336" width="9.140625" style="251"/>
    <col min="14337" max="14337" width="1.7109375" style="251" customWidth="1"/>
    <col min="14338" max="14338" width="12.140625" style="251" customWidth="1"/>
    <col min="14339" max="14339" width="37.7109375" style="251" customWidth="1"/>
    <col min="14340" max="14340" width="3" style="251" customWidth="1"/>
    <col min="14341" max="14341" width="12.7109375" style="251" customWidth="1"/>
    <col min="14342" max="14342" width="2.42578125" style="251" customWidth="1"/>
    <col min="14343" max="14343" width="16.42578125" style="251" customWidth="1"/>
    <col min="14344" max="14347" width="0" style="251" hidden="1" customWidth="1"/>
    <col min="14348" max="14348" width="2.7109375" style="251" customWidth="1"/>
    <col min="14349" max="14349" width="13.42578125" style="251" customWidth="1"/>
    <col min="14350" max="14350" width="0" style="251" hidden="1" customWidth="1"/>
    <col min="14351" max="14351" width="2.7109375" style="251" customWidth="1"/>
    <col min="14352" max="14352" width="59.5703125" style="251" customWidth="1"/>
    <col min="14353" max="14592" width="9.140625" style="251"/>
    <col min="14593" max="14593" width="1.7109375" style="251" customWidth="1"/>
    <col min="14594" max="14594" width="12.140625" style="251" customWidth="1"/>
    <col min="14595" max="14595" width="37.7109375" style="251" customWidth="1"/>
    <col min="14596" max="14596" width="3" style="251" customWidth="1"/>
    <col min="14597" max="14597" width="12.7109375" style="251" customWidth="1"/>
    <col min="14598" max="14598" width="2.42578125" style="251" customWidth="1"/>
    <col min="14599" max="14599" width="16.42578125" style="251" customWidth="1"/>
    <col min="14600" max="14603" width="0" style="251" hidden="1" customWidth="1"/>
    <col min="14604" max="14604" width="2.7109375" style="251" customWidth="1"/>
    <col min="14605" max="14605" width="13.42578125" style="251" customWidth="1"/>
    <col min="14606" max="14606" width="0" style="251" hidden="1" customWidth="1"/>
    <col min="14607" max="14607" width="2.7109375" style="251" customWidth="1"/>
    <col min="14608" max="14608" width="59.5703125" style="251" customWidth="1"/>
    <col min="14609" max="14848" width="9.140625" style="251"/>
    <col min="14849" max="14849" width="1.7109375" style="251" customWidth="1"/>
    <col min="14850" max="14850" width="12.140625" style="251" customWidth="1"/>
    <col min="14851" max="14851" width="37.7109375" style="251" customWidth="1"/>
    <col min="14852" max="14852" width="3" style="251" customWidth="1"/>
    <col min="14853" max="14853" width="12.7109375" style="251" customWidth="1"/>
    <col min="14854" max="14854" width="2.42578125" style="251" customWidth="1"/>
    <col min="14855" max="14855" width="16.42578125" style="251" customWidth="1"/>
    <col min="14856" max="14859" width="0" style="251" hidden="1" customWidth="1"/>
    <col min="14860" max="14860" width="2.7109375" style="251" customWidth="1"/>
    <col min="14861" max="14861" width="13.42578125" style="251" customWidth="1"/>
    <col min="14862" max="14862" width="0" style="251" hidden="1" customWidth="1"/>
    <col min="14863" max="14863" width="2.7109375" style="251" customWidth="1"/>
    <col min="14864" max="14864" width="59.5703125" style="251" customWidth="1"/>
    <col min="14865" max="15104" width="9.140625" style="251"/>
    <col min="15105" max="15105" width="1.7109375" style="251" customWidth="1"/>
    <col min="15106" max="15106" width="12.140625" style="251" customWidth="1"/>
    <col min="15107" max="15107" width="37.7109375" style="251" customWidth="1"/>
    <col min="15108" max="15108" width="3" style="251" customWidth="1"/>
    <col min="15109" max="15109" width="12.7109375" style="251" customWidth="1"/>
    <col min="15110" max="15110" width="2.42578125" style="251" customWidth="1"/>
    <col min="15111" max="15111" width="16.42578125" style="251" customWidth="1"/>
    <col min="15112" max="15115" width="0" style="251" hidden="1" customWidth="1"/>
    <col min="15116" max="15116" width="2.7109375" style="251" customWidth="1"/>
    <col min="15117" max="15117" width="13.42578125" style="251" customWidth="1"/>
    <col min="15118" max="15118" width="0" style="251" hidden="1" customWidth="1"/>
    <col min="15119" max="15119" width="2.7109375" style="251" customWidth="1"/>
    <col min="15120" max="15120" width="59.5703125" style="251" customWidth="1"/>
    <col min="15121" max="15360" width="9.140625" style="251"/>
    <col min="15361" max="15361" width="1.7109375" style="251" customWidth="1"/>
    <col min="15362" max="15362" width="12.140625" style="251" customWidth="1"/>
    <col min="15363" max="15363" width="37.7109375" style="251" customWidth="1"/>
    <col min="15364" max="15364" width="3" style="251" customWidth="1"/>
    <col min="15365" max="15365" width="12.7109375" style="251" customWidth="1"/>
    <col min="15366" max="15366" width="2.42578125" style="251" customWidth="1"/>
    <col min="15367" max="15367" width="16.42578125" style="251" customWidth="1"/>
    <col min="15368" max="15371" width="0" style="251" hidden="1" customWidth="1"/>
    <col min="15372" max="15372" width="2.7109375" style="251" customWidth="1"/>
    <col min="15373" max="15373" width="13.42578125" style="251" customWidth="1"/>
    <col min="15374" max="15374" width="0" style="251" hidden="1" customWidth="1"/>
    <col min="15375" max="15375" width="2.7109375" style="251" customWidth="1"/>
    <col min="15376" max="15376" width="59.5703125" style="251" customWidth="1"/>
    <col min="15377" max="15616" width="9.140625" style="251"/>
    <col min="15617" max="15617" width="1.7109375" style="251" customWidth="1"/>
    <col min="15618" max="15618" width="12.140625" style="251" customWidth="1"/>
    <col min="15619" max="15619" width="37.7109375" style="251" customWidth="1"/>
    <col min="15620" max="15620" width="3" style="251" customWidth="1"/>
    <col min="15621" max="15621" width="12.7109375" style="251" customWidth="1"/>
    <col min="15622" max="15622" width="2.42578125" style="251" customWidth="1"/>
    <col min="15623" max="15623" width="16.42578125" style="251" customWidth="1"/>
    <col min="15624" max="15627" width="0" style="251" hidden="1" customWidth="1"/>
    <col min="15628" max="15628" width="2.7109375" style="251" customWidth="1"/>
    <col min="15629" max="15629" width="13.42578125" style="251" customWidth="1"/>
    <col min="15630" max="15630" width="0" style="251" hidden="1" customWidth="1"/>
    <col min="15631" max="15631" width="2.7109375" style="251" customWidth="1"/>
    <col min="15632" max="15632" width="59.5703125" style="251" customWidth="1"/>
    <col min="15633" max="15872" width="9.140625" style="251"/>
    <col min="15873" max="15873" width="1.7109375" style="251" customWidth="1"/>
    <col min="15874" max="15874" width="12.140625" style="251" customWidth="1"/>
    <col min="15875" max="15875" width="37.7109375" style="251" customWidth="1"/>
    <col min="15876" max="15876" width="3" style="251" customWidth="1"/>
    <col min="15877" max="15877" width="12.7109375" style="251" customWidth="1"/>
    <col min="15878" max="15878" width="2.42578125" style="251" customWidth="1"/>
    <col min="15879" max="15879" width="16.42578125" style="251" customWidth="1"/>
    <col min="15880" max="15883" width="0" style="251" hidden="1" customWidth="1"/>
    <col min="15884" max="15884" width="2.7109375" style="251" customWidth="1"/>
    <col min="15885" max="15885" width="13.42578125" style="251" customWidth="1"/>
    <col min="15886" max="15886" width="0" style="251" hidden="1" customWidth="1"/>
    <col min="15887" max="15887" width="2.7109375" style="251" customWidth="1"/>
    <col min="15888" max="15888" width="59.5703125" style="251" customWidth="1"/>
    <col min="15889" max="16128" width="9.140625" style="251"/>
    <col min="16129" max="16129" width="1.7109375" style="251" customWidth="1"/>
    <col min="16130" max="16130" width="12.140625" style="251" customWidth="1"/>
    <col min="16131" max="16131" width="37.7109375" style="251" customWidth="1"/>
    <col min="16132" max="16132" width="3" style="251" customWidth="1"/>
    <col min="16133" max="16133" width="12.7109375" style="251" customWidth="1"/>
    <col min="16134" max="16134" width="2.42578125" style="251" customWidth="1"/>
    <col min="16135" max="16135" width="16.42578125" style="251" customWidth="1"/>
    <col min="16136" max="16139" width="0" style="251" hidden="1" customWidth="1"/>
    <col min="16140" max="16140" width="2.7109375" style="251" customWidth="1"/>
    <col min="16141" max="16141" width="13.42578125" style="251" customWidth="1"/>
    <col min="16142" max="16142" width="0" style="251" hidden="1" customWidth="1"/>
    <col min="16143" max="16143" width="2.7109375" style="251" customWidth="1"/>
    <col min="16144" max="16144" width="59.5703125" style="251" customWidth="1"/>
    <col min="16145" max="16384" width="9.140625" style="251"/>
  </cols>
  <sheetData>
    <row r="2" spans="1:17" x14ac:dyDescent="0.2">
      <c r="C2" s="250" t="s">
        <v>113</v>
      </c>
      <c r="D2" s="250"/>
      <c r="E2" s="250"/>
      <c r="G2" s="250"/>
      <c r="H2" s="250"/>
      <c r="I2" s="250"/>
      <c r="J2" s="250"/>
      <c r="K2" s="250"/>
      <c r="L2" s="250"/>
      <c r="M2" s="250"/>
      <c r="N2" s="250"/>
      <c r="O2" s="250"/>
      <c r="P2" s="282"/>
      <c r="Q2" s="250"/>
    </row>
    <row r="3" spans="1:17" ht="3" customHeight="1" x14ac:dyDescent="0.2"/>
    <row r="4" spans="1:17" x14ac:dyDescent="0.2">
      <c r="C4" s="250" t="s">
        <v>240</v>
      </c>
      <c r="D4" s="250"/>
      <c r="E4" s="250"/>
      <c r="G4" s="250"/>
    </row>
    <row r="5" spans="1:17" x14ac:dyDescent="0.2">
      <c r="C5" s="250"/>
      <c r="D5" s="250"/>
      <c r="E5" s="284" t="s">
        <v>116</v>
      </c>
      <c r="G5" s="284" t="s">
        <v>130</v>
      </c>
      <c r="I5" s="253" t="s">
        <v>118</v>
      </c>
      <c r="J5" s="285"/>
      <c r="K5" s="253" t="s">
        <v>118</v>
      </c>
      <c r="L5" s="285"/>
      <c r="M5" s="284" t="s">
        <v>436</v>
      </c>
      <c r="N5" s="285"/>
      <c r="O5" s="285"/>
      <c r="P5" s="284"/>
    </row>
    <row r="6" spans="1:17" ht="15" customHeight="1" x14ac:dyDescent="0.2">
      <c r="B6" s="286" t="s">
        <v>131</v>
      </c>
      <c r="C6" s="286" t="s">
        <v>132</v>
      </c>
      <c r="D6" s="252"/>
      <c r="E6" s="287">
        <v>2023</v>
      </c>
      <c r="G6" s="288" t="s">
        <v>433</v>
      </c>
      <c r="I6" s="259" t="s">
        <v>120</v>
      </c>
      <c r="J6" s="285"/>
      <c r="K6" s="259" t="s">
        <v>121</v>
      </c>
      <c r="L6" s="285"/>
      <c r="M6" s="259" t="s">
        <v>116</v>
      </c>
      <c r="N6" s="285"/>
      <c r="O6" s="285"/>
      <c r="P6" s="289" t="s">
        <v>123</v>
      </c>
    </row>
    <row r="7" spans="1:17" ht="15" customHeight="1" x14ac:dyDescent="0.2">
      <c r="B7" s="260" t="s">
        <v>241</v>
      </c>
      <c r="C7" s="260" t="s">
        <v>133</v>
      </c>
      <c r="E7" s="261">
        <v>12000</v>
      </c>
      <c r="F7" s="283"/>
      <c r="G7" s="263">
        <f>768+1200+800+52.86+320.22+444.75+147.45+600</f>
        <v>4333.28</v>
      </c>
      <c r="I7" s="263"/>
      <c r="J7" s="264"/>
      <c r="K7" s="261">
        <f>G7+I7</f>
        <v>4333.28</v>
      </c>
      <c r="L7" s="290"/>
      <c r="M7" s="261">
        <f>E7-K7</f>
        <v>7666.72</v>
      </c>
      <c r="N7" s="290"/>
      <c r="O7" s="290"/>
      <c r="P7" s="291"/>
    </row>
    <row r="8" spans="1:17" ht="15" customHeight="1" x14ac:dyDescent="0.2">
      <c r="B8" s="260" t="s">
        <v>242</v>
      </c>
      <c r="C8" s="266" t="s">
        <v>243</v>
      </c>
      <c r="D8" s="264"/>
      <c r="E8" s="263">
        <v>30000</v>
      </c>
      <c r="G8" s="263">
        <f>5000+6800+500+3073.68+2500+3000+2000+500+2500+4500+4200+917.06+389.68+1438</f>
        <v>37318.42</v>
      </c>
      <c r="I8" s="263"/>
      <c r="J8" s="264"/>
      <c r="K8" s="261">
        <f t="shared" ref="K8:K13" si="0">G8+I8</f>
        <v>37318.42</v>
      </c>
      <c r="L8" s="251"/>
      <c r="M8" s="261">
        <f t="shared" ref="M8:M13" si="1">E8-K8</f>
        <v>-7318.4199999999983</v>
      </c>
      <c r="N8" s="251"/>
      <c r="O8" s="292"/>
      <c r="P8" s="293"/>
    </row>
    <row r="9" spans="1:17" s="264" customFormat="1" ht="15" customHeight="1" x14ac:dyDescent="0.2">
      <c r="A9" s="267"/>
      <c r="B9" s="260" t="s">
        <v>244</v>
      </c>
      <c r="C9" s="266" t="s">
        <v>245</v>
      </c>
      <c r="E9" s="261">
        <v>135000</v>
      </c>
      <c r="G9" s="263">
        <f>28371.5+600</f>
        <v>28971.5</v>
      </c>
      <c r="I9" s="263"/>
      <c r="K9" s="261">
        <f t="shared" si="0"/>
        <v>28971.5</v>
      </c>
      <c r="M9" s="261">
        <f t="shared" si="1"/>
        <v>106028.5</v>
      </c>
      <c r="O9" s="294"/>
      <c r="P9" s="260" t="s">
        <v>437</v>
      </c>
    </row>
    <row r="10" spans="1:17" s="264" customFormat="1" ht="15" customHeight="1" x14ac:dyDescent="0.2">
      <c r="A10" s="267"/>
      <c r="B10" s="260" t="s">
        <v>246</v>
      </c>
      <c r="C10" s="266" t="s">
        <v>247</v>
      </c>
      <c r="E10" s="261">
        <v>32000</v>
      </c>
      <c r="G10" s="263">
        <f>105+210+265.58+53.62+329.3+1391+360+1500+2917+327+652+512+286+300+420+420+2408+254.26+335+2700+2748+2659+3000+247+212+191+2748</f>
        <v>27550.760000000002</v>
      </c>
      <c r="I10" s="263"/>
      <c r="K10" s="261">
        <f t="shared" si="0"/>
        <v>27550.760000000002</v>
      </c>
      <c r="M10" s="261">
        <f t="shared" si="1"/>
        <v>4449.239999999998</v>
      </c>
      <c r="O10" s="294"/>
      <c r="P10" s="260"/>
    </row>
    <row r="11" spans="1:17" s="264" customFormat="1" ht="15" customHeight="1" x14ac:dyDescent="0.2">
      <c r="A11" s="267"/>
      <c r="B11" s="260" t="s">
        <v>248</v>
      </c>
      <c r="C11" s="266" t="s">
        <v>249</v>
      </c>
      <c r="E11" s="261">
        <v>21000</v>
      </c>
      <c r="G11" s="263">
        <f>406+8500+282.43+713.874</f>
        <v>9902.3040000000001</v>
      </c>
      <c r="I11" s="263"/>
      <c r="K11" s="261">
        <f t="shared" si="0"/>
        <v>9902.3040000000001</v>
      </c>
      <c r="M11" s="261">
        <f t="shared" si="1"/>
        <v>11097.696</v>
      </c>
      <c r="O11" s="294"/>
      <c r="P11" s="260"/>
    </row>
    <row r="12" spans="1:17" s="264" customFormat="1" ht="15" customHeight="1" x14ac:dyDescent="0.2">
      <c r="A12" s="267"/>
      <c r="B12" s="260"/>
      <c r="C12" s="266" t="s">
        <v>438</v>
      </c>
      <c r="E12" s="261"/>
      <c r="G12" s="263">
        <v>20500</v>
      </c>
      <c r="I12" s="263"/>
      <c r="K12" s="261">
        <f t="shared" si="0"/>
        <v>20500</v>
      </c>
      <c r="M12" s="261">
        <f t="shared" si="1"/>
        <v>-20500</v>
      </c>
      <c r="O12" s="294"/>
      <c r="P12" s="260" t="s">
        <v>439</v>
      </c>
    </row>
    <row r="13" spans="1:17" s="264" customFormat="1" ht="15" customHeight="1" x14ac:dyDescent="0.2">
      <c r="A13" s="267"/>
      <c r="B13" s="260"/>
      <c r="C13" s="266" t="s">
        <v>440</v>
      </c>
      <c r="E13" s="261"/>
      <c r="G13" s="263">
        <v>19700</v>
      </c>
      <c r="I13" s="263"/>
      <c r="K13" s="261">
        <f t="shared" si="0"/>
        <v>19700</v>
      </c>
      <c r="M13" s="261">
        <f t="shared" si="1"/>
        <v>-19700</v>
      </c>
      <c r="O13" s="294"/>
      <c r="P13" s="260"/>
    </row>
    <row r="14" spans="1:17" ht="15" customHeight="1" x14ac:dyDescent="0.2">
      <c r="B14" s="260"/>
      <c r="C14" s="266"/>
      <c r="D14" s="264"/>
      <c r="E14" s="411"/>
      <c r="F14" s="264"/>
      <c r="G14" s="263"/>
      <c r="H14" s="264"/>
      <c r="I14" s="263">
        <v>0</v>
      </c>
      <c r="J14" s="264"/>
      <c r="K14" s="261">
        <f>+E14</f>
        <v>0</v>
      </c>
      <c r="L14" s="264"/>
      <c r="M14" s="261">
        <f>+E14-G14</f>
        <v>0</v>
      </c>
      <c r="N14" s="264"/>
      <c r="O14" s="264"/>
      <c r="P14" s="266"/>
    </row>
    <row r="15" spans="1:17" s="277" customFormat="1" ht="15" customHeight="1" x14ac:dyDescent="0.2">
      <c r="A15" s="275"/>
      <c r="B15" s="275"/>
      <c r="C15" s="276" t="s">
        <v>250</v>
      </c>
      <c r="E15" s="278">
        <f>SUM(E7:E14)</f>
        <v>230000</v>
      </c>
      <c r="F15" s="295"/>
      <c r="G15" s="278">
        <f>SUM(G7:G14)</f>
        <v>148276.264</v>
      </c>
      <c r="I15" s="278">
        <f>SUM(I7:I14)</f>
        <v>0</v>
      </c>
      <c r="J15" s="295"/>
      <c r="K15" s="278">
        <f>SUM(K7:K14)</f>
        <v>148276.264</v>
      </c>
      <c r="L15" s="296"/>
      <c r="M15" s="278">
        <f>SUM(M7:M14)</f>
        <v>81723.736000000004</v>
      </c>
      <c r="N15" s="296"/>
      <c r="O15" s="296"/>
    </row>
    <row r="16" spans="1:17" s="277" customFormat="1" ht="15" customHeight="1" x14ac:dyDescent="0.2">
      <c r="A16" s="275"/>
      <c r="B16" s="275"/>
      <c r="E16" s="412"/>
      <c r="F16" s="295"/>
      <c r="G16" s="413"/>
      <c r="I16" s="412"/>
      <c r="J16" s="295"/>
      <c r="K16" s="412"/>
      <c r="L16" s="296"/>
      <c r="M16" s="412"/>
      <c r="N16" s="296"/>
      <c r="O16" s="296"/>
    </row>
    <row r="17" spans="9:16" ht="18" x14ac:dyDescent="0.25">
      <c r="P17" s="281"/>
    </row>
    <row r="18" spans="9:16" ht="18" x14ac:dyDescent="0.25">
      <c r="P18" s="297"/>
    </row>
    <row r="22" spans="9:16" x14ac:dyDescent="0.2">
      <c r="I22" s="298"/>
    </row>
  </sheetData>
  <pageMargins left="1" right="1" top="1" bottom="1" header="0.5" footer="0.5"/>
  <pageSetup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81653-3553-4E40-B061-DA80EA889333}">
  <sheetPr>
    <pageSetUpPr fitToPage="1"/>
  </sheetPr>
  <dimension ref="A2:P45"/>
  <sheetViews>
    <sheetView zoomScale="118" zoomScaleNormal="118" workbookViewId="0">
      <selection activeCell="O24" sqref="O24"/>
    </sheetView>
  </sheetViews>
  <sheetFormatPr defaultColWidth="9.140625" defaultRowHeight="12.75" x14ac:dyDescent="0.2"/>
  <cols>
    <col min="1" max="1" width="1.7109375" style="249" customWidth="1"/>
    <col min="2" max="3" width="9.140625" style="251" hidden="1" customWidth="1"/>
    <col min="4" max="5" width="12.85546875" style="251" hidden="1" customWidth="1"/>
    <col min="6" max="7" width="14.7109375" style="251" hidden="1" customWidth="1"/>
    <col min="8" max="8" width="4" style="251" customWidth="1"/>
    <col min="9" max="9" width="9.140625" style="251" customWidth="1"/>
    <col min="10" max="10" width="9.140625" style="251"/>
    <col min="11" max="11" width="12.85546875" style="251" bestFit="1" customWidth="1"/>
    <col min="12" max="12" width="11.5703125" style="251" customWidth="1"/>
    <col min="13" max="15" width="14.7109375" style="251" customWidth="1"/>
    <col min="16" max="16" width="31" style="251" customWidth="1"/>
    <col min="17" max="17" width="10.28515625" style="251" bestFit="1" customWidth="1"/>
    <col min="18" max="256" width="9.140625" style="251"/>
    <col min="257" max="257" width="1.7109375" style="251" customWidth="1"/>
    <col min="258" max="263" width="0" style="251" hidden="1" customWidth="1"/>
    <col min="264" max="264" width="4" style="251" customWidth="1"/>
    <col min="265" max="266" width="9.140625" style="251"/>
    <col min="267" max="267" width="12.85546875" style="251" bestFit="1" customWidth="1"/>
    <col min="268" max="268" width="11.5703125" style="251" customWidth="1"/>
    <col min="269" max="271" width="14.7109375" style="251" customWidth="1"/>
    <col min="272" max="272" width="31" style="251" customWidth="1"/>
    <col min="273" max="273" width="10.28515625" style="251" bestFit="1" customWidth="1"/>
    <col min="274" max="512" width="9.140625" style="251"/>
    <col min="513" max="513" width="1.7109375" style="251" customWidth="1"/>
    <col min="514" max="519" width="0" style="251" hidden="1" customWidth="1"/>
    <col min="520" max="520" width="4" style="251" customWidth="1"/>
    <col min="521" max="522" width="9.140625" style="251"/>
    <col min="523" max="523" width="12.85546875" style="251" bestFit="1" customWidth="1"/>
    <col min="524" max="524" width="11.5703125" style="251" customWidth="1"/>
    <col min="525" max="527" width="14.7109375" style="251" customWidth="1"/>
    <col min="528" max="528" width="31" style="251" customWidth="1"/>
    <col min="529" max="529" width="10.28515625" style="251" bestFit="1" customWidth="1"/>
    <col min="530" max="768" width="9.140625" style="251"/>
    <col min="769" max="769" width="1.7109375" style="251" customWidth="1"/>
    <col min="770" max="775" width="0" style="251" hidden="1" customWidth="1"/>
    <col min="776" max="776" width="4" style="251" customWidth="1"/>
    <col min="777" max="778" width="9.140625" style="251"/>
    <col min="779" max="779" width="12.85546875" style="251" bestFit="1" customWidth="1"/>
    <col min="780" max="780" width="11.5703125" style="251" customWidth="1"/>
    <col min="781" max="783" width="14.7109375" style="251" customWidth="1"/>
    <col min="784" max="784" width="31" style="251" customWidth="1"/>
    <col min="785" max="785" width="10.28515625" style="251" bestFit="1" customWidth="1"/>
    <col min="786" max="1024" width="9.140625" style="251"/>
    <col min="1025" max="1025" width="1.7109375" style="251" customWidth="1"/>
    <col min="1026" max="1031" width="0" style="251" hidden="1" customWidth="1"/>
    <col min="1032" max="1032" width="4" style="251" customWidth="1"/>
    <col min="1033" max="1034" width="9.140625" style="251"/>
    <col min="1035" max="1035" width="12.85546875" style="251" bestFit="1" customWidth="1"/>
    <col min="1036" max="1036" width="11.5703125" style="251" customWidth="1"/>
    <col min="1037" max="1039" width="14.7109375" style="251" customWidth="1"/>
    <col min="1040" max="1040" width="31" style="251" customWidth="1"/>
    <col min="1041" max="1041" width="10.28515625" style="251" bestFit="1" customWidth="1"/>
    <col min="1042" max="1280" width="9.140625" style="251"/>
    <col min="1281" max="1281" width="1.7109375" style="251" customWidth="1"/>
    <col min="1282" max="1287" width="0" style="251" hidden="1" customWidth="1"/>
    <col min="1288" max="1288" width="4" style="251" customWidth="1"/>
    <col min="1289" max="1290" width="9.140625" style="251"/>
    <col min="1291" max="1291" width="12.85546875" style="251" bestFit="1" customWidth="1"/>
    <col min="1292" max="1292" width="11.5703125" style="251" customWidth="1"/>
    <col min="1293" max="1295" width="14.7109375" style="251" customWidth="1"/>
    <col min="1296" max="1296" width="31" style="251" customWidth="1"/>
    <col min="1297" max="1297" width="10.28515625" style="251" bestFit="1" customWidth="1"/>
    <col min="1298" max="1536" width="9.140625" style="251"/>
    <col min="1537" max="1537" width="1.7109375" style="251" customWidth="1"/>
    <col min="1538" max="1543" width="0" style="251" hidden="1" customWidth="1"/>
    <col min="1544" max="1544" width="4" style="251" customWidth="1"/>
    <col min="1545" max="1546" width="9.140625" style="251"/>
    <col min="1547" max="1547" width="12.85546875" style="251" bestFit="1" customWidth="1"/>
    <col min="1548" max="1548" width="11.5703125" style="251" customWidth="1"/>
    <col min="1549" max="1551" width="14.7109375" style="251" customWidth="1"/>
    <col min="1552" max="1552" width="31" style="251" customWidth="1"/>
    <col min="1553" max="1553" width="10.28515625" style="251" bestFit="1" customWidth="1"/>
    <col min="1554" max="1792" width="9.140625" style="251"/>
    <col min="1793" max="1793" width="1.7109375" style="251" customWidth="1"/>
    <col min="1794" max="1799" width="0" style="251" hidden="1" customWidth="1"/>
    <col min="1800" max="1800" width="4" style="251" customWidth="1"/>
    <col min="1801" max="1802" width="9.140625" style="251"/>
    <col min="1803" max="1803" width="12.85546875" style="251" bestFit="1" customWidth="1"/>
    <col min="1804" max="1804" width="11.5703125" style="251" customWidth="1"/>
    <col min="1805" max="1807" width="14.7109375" style="251" customWidth="1"/>
    <col min="1808" max="1808" width="31" style="251" customWidth="1"/>
    <col min="1809" max="1809" width="10.28515625" style="251" bestFit="1" customWidth="1"/>
    <col min="1810" max="2048" width="9.140625" style="251"/>
    <col min="2049" max="2049" width="1.7109375" style="251" customWidth="1"/>
    <col min="2050" max="2055" width="0" style="251" hidden="1" customWidth="1"/>
    <col min="2056" max="2056" width="4" style="251" customWidth="1"/>
    <col min="2057" max="2058" width="9.140625" style="251"/>
    <col min="2059" max="2059" width="12.85546875" style="251" bestFit="1" customWidth="1"/>
    <col min="2060" max="2060" width="11.5703125" style="251" customWidth="1"/>
    <col min="2061" max="2063" width="14.7109375" style="251" customWidth="1"/>
    <col min="2064" max="2064" width="31" style="251" customWidth="1"/>
    <col min="2065" max="2065" width="10.28515625" style="251" bestFit="1" customWidth="1"/>
    <col min="2066" max="2304" width="9.140625" style="251"/>
    <col min="2305" max="2305" width="1.7109375" style="251" customWidth="1"/>
    <col min="2306" max="2311" width="0" style="251" hidden="1" customWidth="1"/>
    <col min="2312" max="2312" width="4" style="251" customWidth="1"/>
    <col min="2313" max="2314" width="9.140625" style="251"/>
    <col min="2315" max="2315" width="12.85546875" style="251" bestFit="1" customWidth="1"/>
    <col min="2316" max="2316" width="11.5703125" style="251" customWidth="1"/>
    <col min="2317" max="2319" width="14.7109375" style="251" customWidth="1"/>
    <col min="2320" max="2320" width="31" style="251" customWidth="1"/>
    <col min="2321" max="2321" width="10.28515625" style="251" bestFit="1" customWidth="1"/>
    <col min="2322" max="2560" width="9.140625" style="251"/>
    <col min="2561" max="2561" width="1.7109375" style="251" customWidth="1"/>
    <col min="2562" max="2567" width="0" style="251" hidden="1" customWidth="1"/>
    <col min="2568" max="2568" width="4" style="251" customWidth="1"/>
    <col min="2569" max="2570" width="9.140625" style="251"/>
    <col min="2571" max="2571" width="12.85546875" style="251" bestFit="1" customWidth="1"/>
    <col min="2572" max="2572" width="11.5703125" style="251" customWidth="1"/>
    <col min="2573" max="2575" width="14.7109375" style="251" customWidth="1"/>
    <col min="2576" max="2576" width="31" style="251" customWidth="1"/>
    <col min="2577" max="2577" width="10.28515625" style="251" bestFit="1" customWidth="1"/>
    <col min="2578" max="2816" width="9.140625" style="251"/>
    <col min="2817" max="2817" width="1.7109375" style="251" customWidth="1"/>
    <col min="2818" max="2823" width="0" style="251" hidden="1" customWidth="1"/>
    <col min="2824" max="2824" width="4" style="251" customWidth="1"/>
    <col min="2825" max="2826" width="9.140625" style="251"/>
    <col min="2827" max="2827" width="12.85546875" style="251" bestFit="1" customWidth="1"/>
    <col min="2828" max="2828" width="11.5703125" style="251" customWidth="1"/>
    <col min="2829" max="2831" width="14.7109375" style="251" customWidth="1"/>
    <col min="2832" max="2832" width="31" style="251" customWidth="1"/>
    <col min="2833" max="2833" width="10.28515625" style="251" bestFit="1" customWidth="1"/>
    <col min="2834" max="3072" width="9.140625" style="251"/>
    <col min="3073" max="3073" width="1.7109375" style="251" customWidth="1"/>
    <col min="3074" max="3079" width="0" style="251" hidden="1" customWidth="1"/>
    <col min="3080" max="3080" width="4" style="251" customWidth="1"/>
    <col min="3081" max="3082" width="9.140625" style="251"/>
    <col min="3083" max="3083" width="12.85546875" style="251" bestFit="1" customWidth="1"/>
    <col min="3084" max="3084" width="11.5703125" style="251" customWidth="1"/>
    <col min="3085" max="3087" width="14.7109375" style="251" customWidth="1"/>
    <col min="3088" max="3088" width="31" style="251" customWidth="1"/>
    <col min="3089" max="3089" width="10.28515625" style="251" bestFit="1" customWidth="1"/>
    <col min="3090" max="3328" width="9.140625" style="251"/>
    <col min="3329" max="3329" width="1.7109375" style="251" customWidth="1"/>
    <col min="3330" max="3335" width="0" style="251" hidden="1" customWidth="1"/>
    <col min="3336" max="3336" width="4" style="251" customWidth="1"/>
    <col min="3337" max="3338" width="9.140625" style="251"/>
    <col min="3339" max="3339" width="12.85546875" style="251" bestFit="1" customWidth="1"/>
    <col min="3340" max="3340" width="11.5703125" style="251" customWidth="1"/>
    <col min="3341" max="3343" width="14.7109375" style="251" customWidth="1"/>
    <col min="3344" max="3344" width="31" style="251" customWidth="1"/>
    <col min="3345" max="3345" width="10.28515625" style="251" bestFit="1" customWidth="1"/>
    <col min="3346" max="3584" width="9.140625" style="251"/>
    <col min="3585" max="3585" width="1.7109375" style="251" customWidth="1"/>
    <col min="3586" max="3591" width="0" style="251" hidden="1" customWidth="1"/>
    <col min="3592" max="3592" width="4" style="251" customWidth="1"/>
    <col min="3593" max="3594" width="9.140625" style="251"/>
    <col min="3595" max="3595" width="12.85546875" style="251" bestFit="1" customWidth="1"/>
    <col min="3596" max="3596" width="11.5703125" style="251" customWidth="1"/>
    <col min="3597" max="3599" width="14.7109375" style="251" customWidth="1"/>
    <col min="3600" max="3600" width="31" style="251" customWidth="1"/>
    <col min="3601" max="3601" width="10.28515625" style="251" bestFit="1" customWidth="1"/>
    <col min="3602" max="3840" width="9.140625" style="251"/>
    <col min="3841" max="3841" width="1.7109375" style="251" customWidth="1"/>
    <col min="3842" max="3847" width="0" style="251" hidden="1" customWidth="1"/>
    <col min="3848" max="3848" width="4" style="251" customWidth="1"/>
    <col min="3849" max="3850" width="9.140625" style="251"/>
    <col min="3851" max="3851" width="12.85546875" style="251" bestFit="1" customWidth="1"/>
    <col min="3852" max="3852" width="11.5703125" style="251" customWidth="1"/>
    <col min="3853" max="3855" width="14.7109375" style="251" customWidth="1"/>
    <col min="3856" max="3856" width="31" style="251" customWidth="1"/>
    <col min="3857" max="3857" width="10.28515625" style="251" bestFit="1" customWidth="1"/>
    <col min="3858" max="4096" width="9.140625" style="251"/>
    <col min="4097" max="4097" width="1.7109375" style="251" customWidth="1"/>
    <col min="4098" max="4103" width="0" style="251" hidden="1" customWidth="1"/>
    <col min="4104" max="4104" width="4" style="251" customWidth="1"/>
    <col min="4105" max="4106" width="9.140625" style="251"/>
    <col min="4107" max="4107" width="12.85546875" style="251" bestFit="1" customWidth="1"/>
    <col min="4108" max="4108" width="11.5703125" style="251" customWidth="1"/>
    <col min="4109" max="4111" width="14.7109375" style="251" customWidth="1"/>
    <col min="4112" max="4112" width="31" style="251" customWidth="1"/>
    <col min="4113" max="4113" width="10.28515625" style="251" bestFit="1" customWidth="1"/>
    <col min="4114" max="4352" width="9.140625" style="251"/>
    <col min="4353" max="4353" width="1.7109375" style="251" customWidth="1"/>
    <col min="4354" max="4359" width="0" style="251" hidden="1" customWidth="1"/>
    <col min="4360" max="4360" width="4" style="251" customWidth="1"/>
    <col min="4361" max="4362" width="9.140625" style="251"/>
    <col min="4363" max="4363" width="12.85546875" style="251" bestFit="1" customWidth="1"/>
    <col min="4364" max="4364" width="11.5703125" style="251" customWidth="1"/>
    <col min="4365" max="4367" width="14.7109375" style="251" customWidth="1"/>
    <col min="4368" max="4368" width="31" style="251" customWidth="1"/>
    <col min="4369" max="4369" width="10.28515625" style="251" bestFit="1" customWidth="1"/>
    <col min="4370" max="4608" width="9.140625" style="251"/>
    <col min="4609" max="4609" width="1.7109375" style="251" customWidth="1"/>
    <col min="4610" max="4615" width="0" style="251" hidden="1" customWidth="1"/>
    <col min="4616" max="4616" width="4" style="251" customWidth="1"/>
    <col min="4617" max="4618" width="9.140625" style="251"/>
    <col min="4619" max="4619" width="12.85546875" style="251" bestFit="1" customWidth="1"/>
    <col min="4620" max="4620" width="11.5703125" style="251" customWidth="1"/>
    <col min="4621" max="4623" width="14.7109375" style="251" customWidth="1"/>
    <col min="4624" max="4624" width="31" style="251" customWidth="1"/>
    <col min="4625" max="4625" width="10.28515625" style="251" bestFit="1" customWidth="1"/>
    <col min="4626" max="4864" width="9.140625" style="251"/>
    <col min="4865" max="4865" width="1.7109375" style="251" customWidth="1"/>
    <col min="4866" max="4871" width="0" style="251" hidden="1" customWidth="1"/>
    <col min="4872" max="4872" width="4" style="251" customWidth="1"/>
    <col min="4873" max="4874" width="9.140625" style="251"/>
    <col min="4875" max="4875" width="12.85546875" style="251" bestFit="1" customWidth="1"/>
    <col min="4876" max="4876" width="11.5703125" style="251" customWidth="1"/>
    <col min="4877" max="4879" width="14.7109375" style="251" customWidth="1"/>
    <col min="4880" max="4880" width="31" style="251" customWidth="1"/>
    <col min="4881" max="4881" width="10.28515625" style="251" bestFit="1" customWidth="1"/>
    <col min="4882" max="5120" width="9.140625" style="251"/>
    <col min="5121" max="5121" width="1.7109375" style="251" customWidth="1"/>
    <col min="5122" max="5127" width="0" style="251" hidden="1" customWidth="1"/>
    <col min="5128" max="5128" width="4" style="251" customWidth="1"/>
    <col min="5129" max="5130" width="9.140625" style="251"/>
    <col min="5131" max="5131" width="12.85546875" style="251" bestFit="1" customWidth="1"/>
    <col min="5132" max="5132" width="11.5703125" style="251" customWidth="1"/>
    <col min="5133" max="5135" width="14.7109375" style="251" customWidth="1"/>
    <col min="5136" max="5136" width="31" style="251" customWidth="1"/>
    <col min="5137" max="5137" width="10.28515625" style="251" bestFit="1" customWidth="1"/>
    <col min="5138" max="5376" width="9.140625" style="251"/>
    <col min="5377" max="5377" width="1.7109375" style="251" customWidth="1"/>
    <col min="5378" max="5383" width="0" style="251" hidden="1" customWidth="1"/>
    <col min="5384" max="5384" width="4" style="251" customWidth="1"/>
    <col min="5385" max="5386" width="9.140625" style="251"/>
    <col min="5387" max="5387" width="12.85546875" style="251" bestFit="1" customWidth="1"/>
    <col min="5388" max="5388" width="11.5703125" style="251" customWidth="1"/>
    <col min="5389" max="5391" width="14.7109375" style="251" customWidth="1"/>
    <col min="5392" max="5392" width="31" style="251" customWidth="1"/>
    <col min="5393" max="5393" width="10.28515625" style="251" bestFit="1" customWidth="1"/>
    <col min="5394" max="5632" width="9.140625" style="251"/>
    <col min="5633" max="5633" width="1.7109375" style="251" customWidth="1"/>
    <col min="5634" max="5639" width="0" style="251" hidden="1" customWidth="1"/>
    <col min="5640" max="5640" width="4" style="251" customWidth="1"/>
    <col min="5641" max="5642" width="9.140625" style="251"/>
    <col min="5643" max="5643" width="12.85546875" style="251" bestFit="1" customWidth="1"/>
    <col min="5644" max="5644" width="11.5703125" style="251" customWidth="1"/>
    <col min="5645" max="5647" width="14.7109375" style="251" customWidth="1"/>
    <col min="5648" max="5648" width="31" style="251" customWidth="1"/>
    <col min="5649" max="5649" width="10.28515625" style="251" bestFit="1" customWidth="1"/>
    <col min="5650" max="5888" width="9.140625" style="251"/>
    <col min="5889" max="5889" width="1.7109375" style="251" customWidth="1"/>
    <col min="5890" max="5895" width="0" style="251" hidden="1" customWidth="1"/>
    <col min="5896" max="5896" width="4" style="251" customWidth="1"/>
    <col min="5897" max="5898" width="9.140625" style="251"/>
    <col min="5899" max="5899" width="12.85546875" style="251" bestFit="1" customWidth="1"/>
    <col min="5900" max="5900" width="11.5703125" style="251" customWidth="1"/>
    <col min="5901" max="5903" width="14.7109375" style="251" customWidth="1"/>
    <col min="5904" max="5904" width="31" style="251" customWidth="1"/>
    <col min="5905" max="5905" width="10.28515625" style="251" bestFit="1" customWidth="1"/>
    <col min="5906" max="6144" width="9.140625" style="251"/>
    <col min="6145" max="6145" width="1.7109375" style="251" customWidth="1"/>
    <col min="6146" max="6151" width="0" style="251" hidden="1" customWidth="1"/>
    <col min="6152" max="6152" width="4" style="251" customWidth="1"/>
    <col min="6153" max="6154" width="9.140625" style="251"/>
    <col min="6155" max="6155" width="12.85546875" style="251" bestFit="1" customWidth="1"/>
    <col min="6156" max="6156" width="11.5703125" style="251" customWidth="1"/>
    <col min="6157" max="6159" width="14.7109375" style="251" customWidth="1"/>
    <col min="6160" max="6160" width="31" style="251" customWidth="1"/>
    <col min="6161" max="6161" width="10.28515625" style="251" bestFit="1" customWidth="1"/>
    <col min="6162" max="6400" width="9.140625" style="251"/>
    <col min="6401" max="6401" width="1.7109375" style="251" customWidth="1"/>
    <col min="6402" max="6407" width="0" style="251" hidden="1" customWidth="1"/>
    <col min="6408" max="6408" width="4" style="251" customWidth="1"/>
    <col min="6409" max="6410" width="9.140625" style="251"/>
    <col min="6411" max="6411" width="12.85546875" style="251" bestFit="1" customWidth="1"/>
    <col min="6412" max="6412" width="11.5703125" style="251" customWidth="1"/>
    <col min="6413" max="6415" width="14.7109375" style="251" customWidth="1"/>
    <col min="6416" max="6416" width="31" style="251" customWidth="1"/>
    <col min="6417" max="6417" width="10.28515625" style="251" bestFit="1" customWidth="1"/>
    <col min="6418" max="6656" width="9.140625" style="251"/>
    <col min="6657" max="6657" width="1.7109375" style="251" customWidth="1"/>
    <col min="6658" max="6663" width="0" style="251" hidden="1" customWidth="1"/>
    <col min="6664" max="6664" width="4" style="251" customWidth="1"/>
    <col min="6665" max="6666" width="9.140625" style="251"/>
    <col min="6667" max="6667" width="12.85546875" style="251" bestFit="1" customWidth="1"/>
    <col min="6668" max="6668" width="11.5703125" style="251" customWidth="1"/>
    <col min="6669" max="6671" width="14.7109375" style="251" customWidth="1"/>
    <col min="6672" max="6672" width="31" style="251" customWidth="1"/>
    <col min="6673" max="6673" width="10.28515625" style="251" bestFit="1" customWidth="1"/>
    <col min="6674" max="6912" width="9.140625" style="251"/>
    <col min="6913" max="6913" width="1.7109375" style="251" customWidth="1"/>
    <col min="6914" max="6919" width="0" style="251" hidden="1" customWidth="1"/>
    <col min="6920" max="6920" width="4" style="251" customWidth="1"/>
    <col min="6921" max="6922" width="9.140625" style="251"/>
    <col min="6923" max="6923" width="12.85546875" style="251" bestFit="1" customWidth="1"/>
    <col min="6924" max="6924" width="11.5703125" style="251" customWidth="1"/>
    <col min="6925" max="6927" width="14.7109375" style="251" customWidth="1"/>
    <col min="6928" max="6928" width="31" style="251" customWidth="1"/>
    <col min="6929" max="6929" width="10.28515625" style="251" bestFit="1" customWidth="1"/>
    <col min="6930" max="7168" width="9.140625" style="251"/>
    <col min="7169" max="7169" width="1.7109375" style="251" customWidth="1"/>
    <col min="7170" max="7175" width="0" style="251" hidden="1" customWidth="1"/>
    <col min="7176" max="7176" width="4" style="251" customWidth="1"/>
    <col min="7177" max="7178" width="9.140625" style="251"/>
    <col min="7179" max="7179" width="12.85546875" style="251" bestFit="1" customWidth="1"/>
    <col min="7180" max="7180" width="11.5703125" style="251" customWidth="1"/>
    <col min="7181" max="7183" width="14.7109375" style="251" customWidth="1"/>
    <col min="7184" max="7184" width="31" style="251" customWidth="1"/>
    <col min="7185" max="7185" width="10.28515625" style="251" bestFit="1" customWidth="1"/>
    <col min="7186" max="7424" width="9.140625" style="251"/>
    <col min="7425" max="7425" width="1.7109375" style="251" customWidth="1"/>
    <col min="7426" max="7431" width="0" style="251" hidden="1" customWidth="1"/>
    <col min="7432" max="7432" width="4" style="251" customWidth="1"/>
    <col min="7433" max="7434" width="9.140625" style="251"/>
    <col min="7435" max="7435" width="12.85546875" style="251" bestFit="1" customWidth="1"/>
    <col min="7436" max="7436" width="11.5703125" style="251" customWidth="1"/>
    <col min="7437" max="7439" width="14.7109375" style="251" customWidth="1"/>
    <col min="7440" max="7440" width="31" style="251" customWidth="1"/>
    <col min="7441" max="7441" width="10.28515625" style="251" bestFit="1" customWidth="1"/>
    <col min="7442" max="7680" width="9.140625" style="251"/>
    <col min="7681" max="7681" width="1.7109375" style="251" customWidth="1"/>
    <col min="7682" max="7687" width="0" style="251" hidden="1" customWidth="1"/>
    <col min="7688" max="7688" width="4" style="251" customWidth="1"/>
    <col min="7689" max="7690" width="9.140625" style="251"/>
    <col min="7691" max="7691" width="12.85546875" style="251" bestFit="1" customWidth="1"/>
    <col min="7692" max="7692" width="11.5703125" style="251" customWidth="1"/>
    <col min="7693" max="7695" width="14.7109375" style="251" customWidth="1"/>
    <col min="7696" max="7696" width="31" style="251" customWidth="1"/>
    <col min="7697" max="7697" width="10.28515625" style="251" bestFit="1" customWidth="1"/>
    <col min="7698" max="7936" width="9.140625" style="251"/>
    <col min="7937" max="7937" width="1.7109375" style="251" customWidth="1"/>
    <col min="7938" max="7943" width="0" style="251" hidden="1" customWidth="1"/>
    <col min="7944" max="7944" width="4" style="251" customWidth="1"/>
    <col min="7945" max="7946" width="9.140625" style="251"/>
    <col min="7947" max="7947" width="12.85546875" style="251" bestFit="1" customWidth="1"/>
    <col min="7948" max="7948" width="11.5703125" style="251" customWidth="1"/>
    <col min="7949" max="7951" width="14.7109375" style="251" customWidth="1"/>
    <col min="7952" max="7952" width="31" style="251" customWidth="1"/>
    <col min="7953" max="7953" width="10.28515625" style="251" bestFit="1" customWidth="1"/>
    <col min="7954" max="8192" width="9.140625" style="251"/>
    <col min="8193" max="8193" width="1.7109375" style="251" customWidth="1"/>
    <col min="8194" max="8199" width="0" style="251" hidden="1" customWidth="1"/>
    <col min="8200" max="8200" width="4" style="251" customWidth="1"/>
    <col min="8201" max="8202" width="9.140625" style="251"/>
    <col min="8203" max="8203" width="12.85546875" style="251" bestFit="1" customWidth="1"/>
    <col min="8204" max="8204" width="11.5703125" style="251" customWidth="1"/>
    <col min="8205" max="8207" width="14.7109375" style="251" customWidth="1"/>
    <col min="8208" max="8208" width="31" style="251" customWidth="1"/>
    <col min="8209" max="8209" width="10.28515625" style="251" bestFit="1" customWidth="1"/>
    <col min="8210" max="8448" width="9.140625" style="251"/>
    <col min="8449" max="8449" width="1.7109375" style="251" customWidth="1"/>
    <col min="8450" max="8455" width="0" style="251" hidden="1" customWidth="1"/>
    <col min="8456" max="8456" width="4" style="251" customWidth="1"/>
    <col min="8457" max="8458" width="9.140625" style="251"/>
    <col min="8459" max="8459" width="12.85546875" style="251" bestFit="1" customWidth="1"/>
    <col min="8460" max="8460" width="11.5703125" style="251" customWidth="1"/>
    <col min="8461" max="8463" width="14.7109375" style="251" customWidth="1"/>
    <col min="8464" max="8464" width="31" style="251" customWidth="1"/>
    <col min="8465" max="8465" width="10.28515625" style="251" bestFit="1" customWidth="1"/>
    <col min="8466" max="8704" width="9.140625" style="251"/>
    <col min="8705" max="8705" width="1.7109375" style="251" customWidth="1"/>
    <col min="8706" max="8711" width="0" style="251" hidden="1" customWidth="1"/>
    <col min="8712" max="8712" width="4" style="251" customWidth="1"/>
    <col min="8713" max="8714" width="9.140625" style="251"/>
    <col min="8715" max="8715" width="12.85546875" style="251" bestFit="1" customWidth="1"/>
    <col min="8716" max="8716" width="11.5703125" style="251" customWidth="1"/>
    <col min="8717" max="8719" width="14.7109375" style="251" customWidth="1"/>
    <col min="8720" max="8720" width="31" style="251" customWidth="1"/>
    <col min="8721" max="8721" width="10.28515625" style="251" bestFit="1" customWidth="1"/>
    <col min="8722" max="8960" width="9.140625" style="251"/>
    <col min="8961" max="8961" width="1.7109375" style="251" customWidth="1"/>
    <col min="8962" max="8967" width="0" style="251" hidden="1" customWidth="1"/>
    <col min="8968" max="8968" width="4" style="251" customWidth="1"/>
    <col min="8969" max="8970" width="9.140625" style="251"/>
    <col min="8971" max="8971" width="12.85546875" style="251" bestFit="1" customWidth="1"/>
    <col min="8972" max="8972" width="11.5703125" style="251" customWidth="1"/>
    <col min="8973" max="8975" width="14.7109375" style="251" customWidth="1"/>
    <col min="8976" max="8976" width="31" style="251" customWidth="1"/>
    <col min="8977" max="8977" width="10.28515625" style="251" bestFit="1" customWidth="1"/>
    <col min="8978" max="9216" width="9.140625" style="251"/>
    <col min="9217" max="9217" width="1.7109375" style="251" customWidth="1"/>
    <col min="9218" max="9223" width="0" style="251" hidden="1" customWidth="1"/>
    <col min="9224" max="9224" width="4" style="251" customWidth="1"/>
    <col min="9225" max="9226" width="9.140625" style="251"/>
    <col min="9227" max="9227" width="12.85546875" style="251" bestFit="1" customWidth="1"/>
    <col min="9228" max="9228" width="11.5703125" style="251" customWidth="1"/>
    <col min="9229" max="9231" width="14.7109375" style="251" customWidth="1"/>
    <col min="9232" max="9232" width="31" style="251" customWidth="1"/>
    <col min="9233" max="9233" width="10.28515625" style="251" bestFit="1" customWidth="1"/>
    <col min="9234" max="9472" width="9.140625" style="251"/>
    <col min="9473" max="9473" width="1.7109375" style="251" customWidth="1"/>
    <col min="9474" max="9479" width="0" style="251" hidden="1" customWidth="1"/>
    <col min="9480" max="9480" width="4" style="251" customWidth="1"/>
    <col min="9481" max="9482" width="9.140625" style="251"/>
    <col min="9483" max="9483" width="12.85546875" style="251" bestFit="1" customWidth="1"/>
    <col min="9484" max="9484" width="11.5703125" style="251" customWidth="1"/>
    <col min="9485" max="9487" width="14.7109375" style="251" customWidth="1"/>
    <col min="9488" max="9488" width="31" style="251" customWidth="1"/>
    <col min="9489" max="9489" width="10.28515625" style="251" bestFit="1" customWidth="1"/>
    <col min="9490" max="9728" width="9.140625" style="251"/>
    <col min="9729" max="9729" width="1.7109375" style="251" customWidth="1"/>
    <col min="9730" max="9735" width="0" style="251" hidden="1" customWidth="1"/>
    <col min="9736" max="9736" width="4" style="251" customWidth="1"/>
    <col min="9737" max="9738" width="9.140625" style="251"/>
    <col min="9739" max="9739" width="12.85546875" style="251" bestFit="1" customWidth="1"/>
    <col min="9740" max="9740" width="11.5703125" style="251" customWidth="1"/>
    <col min="9741" max="9743" width="14.7109375" style="251" customWidth="1"/>
    <col min="9744" max="9744" width="31" style="251" customWidth="1"/>
    <col min="9745" max="9745" width="10.28515625" style="251" bestFit="1" customWidth="1"/>
    <col min="9746" max="9984" width="9.140625" style="251"/>
    <col min="9985" max="9985" width="1.7109375" style="251" customWidth="1"/>
    <col min="9986" max="9991" width="0" style="251" hidden="1" customWidth="1"/>
    <col min="9992" max="9992" width="4" style="251" customWidth="1"/>
    <col min="9993" max="9994" width="9.140625" style="251"/>
    <col min="9995" max="9995" width="12.85546875" style="251" bestFit="1" customWidth="1"/>
    <col min="9996" max="9996" width="11.5703125" style="251" customWidth="1"/>
    <col min="9997" max="9999" width="14.7109375" style="251" customWidth="1"/>
    <col min="10000" max="10000" width="31" style="251" customWidth="1"/>
    <col min="10001" max="10001" width="10.28515625" style="251" bestFit="1" customWidth="1"/>
    <col min="10002" max="10240" width="9.140625" style="251"/>
    <col min="10241" max="10241" width="1.7109375" style="251" customWidth="1"/>
    <col min="10242" max="10247" width="0" style="251" hidden="1" customWidth="1"/>
    <col min="10248" max="10248" width="4" style="251" customWidth="1"/>
    <col min="10249" max="10250" width="9.140625" style="251"/>
    <col min="10251" max="10251" width="12.85546875" style="251" bestFit="1" customWidth="1"/>
    <col min="10252" max="10252" width="11.5703125" style="251" customWidth="1"/>
    <col min="10253" max="10255" width="14.7109375" style="251" customWidth="1"/>
    <col min="10256" max="10256" width="31" style="251" customWidth="1"/>
    <col min="10257" max="10257" width="10.28515625" style="251" bestFit="1" customWidth="1"/>
    <col min="10258" max="10496" width="9.140625" style="251"/>
    <col min="10497" max="10497" width="1.7109375" style="251" customWidth="1"/>
    <col min="10498" max="10503" width="0" style="251" hidden="1" customWidth="1"/>
    <col min="10504" max="10504" width="4" style="251" customWidth="1"/>
    <col min="10505" max="10506" width="9.140625" style="251"/>
    <col min="10507" max="10507" width="12.85546875" style="251" bestFit="1" customWidth="1"/>
    <col min="10508" max="10508" width="11.5703125" style="251" customWidth="1"/>
    <col min="10509" max="10511" width="14.7109375" style="251" customWidth="1"/>
    <col min="10512" max="10512" width="31" style="251" customWidth="1"/>
    <col min="10513" max="10513" width="10.28515625" style="251" bestFit="1" customWidth="1"/>
    <col min="10514" max="10752" width="9.140625" style="251"/>
    <col min="10753" max="10753" width="1.7109375" style="251" customWidth="1"/>
    <col min="10754" max="10759" width="0" style="251" hidden="1" customWidth="1"/>
    <col min="10760" max="10760" width="4" style="251" customWidth="1"/>
    <col min="10761" max="10762" width="9.140625" style="251"/>
    <col min="10763" max="10763" width="12.85546875" style="251" bestFit="1" customWidth="1"/>
    <col min="10764" max="10764" width="11.5703125" style="251" customWidth="1"/>
    <col min="10765" max="10767" width="14.7109375" style="251" customWidth="1"/>
    <col min="10768" max="10768" width="31" style="251" customWidth="1"/>
    <col min="10769" max="10769" width="10.28515625" style="251" bestFit="1" customWidth="1"/>
    <col min="10770" max="11008" width="9.140625" style="251"/>
    <col min="11009" max="11009" width="1.7109375" style="251" customWidth="1"/>
    <col min="11010" max="11015" width="0" style="251" hidden="1" customWidth="1"/>
    <col min="11016" max="11016" width="4" style="251" customWidth="1"/>
    <col min="11017" max="11018" width="9.140625" style="251"/>
    <col min="11019" max="11019" width="12.85546875" style="251" bestFit="1" customWidth="1"/>
    <col min="11020" max="11020" width="11.5703125" style="251" customWidth="1"/>
    <col min="11021" max="11023" width="14.7109375" style="251" customWidth="1"/>
    <col min="11024" max="11024" width="31" style="251" customWidth="1"/>
    <col min="11025" max="11025" width="10.28515625" style="251" bestFit="1" customWidth="1"/>
    <col min="11026" max="11264" width="9.140625" style="251"/>
    <col min="11265" max="11265" width="1.7109375" style="251" customWidth="1"/>
    <col min="11266" max="11271" width="0" style="251" hidden="1" customWidth="1"/>
    <col min="11272" max="11272" width="4" style="251" customWidth="1"/>
    <col min="11273" max="11274" width="9.140625" style="251"/>
    <col min="11275" max="11275" width="12.85546875" style="251" bestFit="1" customWidth="1"/>
    <col min="11276" max="11276" width="11.5703125" style="251" customWidth="1"/>
    <col min="11277" max="11279" width="14.7109375" style="251" customWidth="1"/>
    <col min="11280" max="11280" width="31" style="251" customWidth="1"/>
    <col min="11281" max="11281" width="10.28515625" style="251" bestFit="1" customWidth="1"/>
    <col min="11282" max="11520" width="9.140625" style="251"/>
    <col min="11521" max="11521" width="1.7109375" style="251" customWidth="1"/>
    <col min="11522" max="11527" width="0" style="251" hidden="1" customWidth="1"/>
    <col min="11528" max="11528" width="4" style="251" customWidth="1"/>
    <col min="11529" max="11530" width="9.140625" style="251"/>
    <col min="11531" max="11531" width="12.85546875" style="251" bestFit="1" customWidth="1"/>
    <col min="11532" max="11532" width="11.5703125" style="251" customWidth="1"/>
    <col min="11533" max="11535" width="14.7109375" style="251" customWidth="1"/>
    <col min="11536" max="11536" width="31" style="251" customWidth="1"/>
    <col min="11537" max="11537" width="10.28515625" style="251" bestFit="1" customWidth="1"/>
    <col min="11538" max="11776" width="9.140625" style="251"/>
    <col min="11777" max="11777" width="1.7109375" style="251" customWidth="1"/>
    <col min="11778" max="11783" width="0" style="251" hidden="1" customWidth="1"/>
    <col min="11784" max="11784" width="4" style="251" customWidth="1"/>
    <col min="11785" max="11786" width="9.140625" style="251"/>
    <col min="11787" max="11787" width="12.85546875" style="251" bestFit="1" customWidth="1"/>
    <col min="11788" max="11788" width="11.5703125" style="251" customWidth="1"/>
    <col min="11789" max="11791" width="14.7109375" style="251" customWidth="1"/>
    <col min="11792" max="11792" width="31" style="251" customWidth="1"/>
    <col min="11793" max="11793" width="10.28515625" style="251" bestFit="1" customWidth="1"/>
    <col min="11794" max="12032" width="9.140625" style="251"/>
    <col min="12033" max="12033" width="1.7109375" style="251" customWidth="1"/>
    <col min="12034" max="12039" width="0" style="251" hidden="1" customWidth="1"/>
    <col min="12040" max="12040" width="4" style="251" customWidth="1"/>
    <col min="12041" max="12042" width="9.140625" style="251"/>
    <col min="12043" max="12043" width="12.85546875" style="251" bestFit="1" customWidth="1"/>
    <col min="12044" max="12044" width="11.5703125" style="251" customWidth="1"/>
    <col min="12045" max="12047" width="14.7109375" style="251" customWidth="1"/>
    <col min="12048" max="12048" width="31" style="251" customWidth="1"/>
    <col min="12049" max="12049" width="10.28515625" style="251" bestFit="1" customWidth="1"/>
    <col min="12050" max="12288" width="9.140625" style="251"/>
    <col min="12289" max="12289" width="1.7109375" style="251" customWidth="1"/>
    <col min="12290" max="12295" width="0" style="251" hidden="1" customWidth="1"/>
    <col min="12296" max="12296" width="4" style="251" customWidth="1"/>
    <col min="12297" max="12298" width="9.140625" style="251"/>
    <col min="12299" max="12299" width="12.85546875" style="251" bestFit="1" customWidth="1"/>
    <col min="12300" max="12300" width="11.5703125" style="251" customWidth="1"/>
    <col min="12301" max="12303" width="14.7109375" style="251" customWidth="1"/>
    <col min="12304" max="12304" width="31" style="251" customWidth="1"/>
    <col min="12305" max="12305" width="10.28515625" style="251" bestFit="1" customWidth="1"/>
    <col min="12306" max="12544" width="9.140625" style="251"/>
    <col min="12545" max="12545" width="1.7109375" style="251" customWidth="1"/>
    <col min="12546" max="12551" width="0" style="251" hidden="1" customWidth="1"/>
    <col min="12552" max="12552" width="4" style="251" customWidth="1"/>
    <col min="12553" max="12554" width="9.140625" style="251"/>
    <col min="12555" max="12555" width="12.85546875" style="251" bestFit="1" customWidth="1"/>
    <col min="12556" max="12556" width="11.5703125" style="251" customWidth="1"/>
    <col min="12557" max="12559" width="14.7109375" style="251" customWidth="1"/>
    <col min="12560" max="12560" width="31" style="251" customWidth="1"/>
    <col min="12561" max="12561" width="10.28515625" style="251" bestFit="1" customWidth="1"/>
    <col min="12562" max="12800" width="9.140625" style="251"/>
    <col min="12801" max="12801" width="1.7109375" style="251" customWidth="1"/>
    <col min="12802" max="12807" width="0" style="251" hidden="1" customWidth="1"/>
    <col min="12808" max="12808" width="4" style="251" customWidth="1"/>
    <col min="12809" max="12810" width="9.140625" style="251"/>
    <col min="12811" max="12811" width="12.85546875" style="251" bestFit="1" customWidth="1"/>
    <col min="12812" max="12812" width="11.5703125" style="251" customWidth="1"/>
    <col min="12813" max="12815" width="14.7109375" style="251" customWidth="1"/>
    <col min="12816" max="12816" width="31" style="251" customWidth="1"/>
    <col min="12817" max="12817" width="10.28515625" style="251" bestFit="1" customWidth="1"/>
    <col min="12818" max="13056" width="9.140625" style="251"/>
    <col min="13057" max="13057" width="1.7109375" style="251" customWidth="1"/>
    <col min="13058" max="13063" width="0" style="251" hidden="1" customWidth="1"/>
    <col min="13064" max="13064" width="4" style="251" customWidth="1"/>
    <col min="13065" max="13066" width="9.140625" style="251"/>
    <col min="13067" max="13067" width="12.85546875" style="251" bestFit="1" customWidth="1"/>
    <col min="13068" max="13068" width="11.5703125" style="251" customWidth="1"/>
    <col min="13069" max="13071" width="14.7109375" style="251" customWidth="1"/>
    <col min="13072" max="13072" width="31" style="251" customWidth="1"/>
    <col min="13073" max="13073" width="10.28515625" style="251" bestFit="1" customWidth="1"/>
    <col min="13074" max="13312" width="9.140625" style="251"/>
    <col min="13313" max="13313" width="1.7109375" style="251" customWidth="1"/>
    <col min="13314" max="13319" width="0" style="251" hidden="1" customWidth="1"/>
    <col min="13320" max="13320" width="4" style="251" customWidth="1"/>
    <col min="13321" max="13322" width="9.140625" style="251"/>
    <col min="13323" max="13323" width="12.85546875" style="251" bestFit="1" customWidth="1"/>
    <col min="13324" max="13324" width="11.5703125" style="251" customWidth="1"/>
    <col min="13325" max="13327" width="14.7109375" style="251" customWidth="1"/>
    <col min="13328" max="13328" width="31" style="251" customWidth="1"/>
    <col min="13329" max="13329" width="10.28515625" style="251" bestFit="1" customWidth="1"/>
    <col min="13330" max="13568" width="9.140625" style="251"/>
    <col min="13569" max="13569" width="1.7109375" style="251" customWidth="1"/>
    <col min="13570" max="13575" width="0" style="251" hidden="1" customWidth="1"/>
    <col min="13576" max="13576" width="4" style="251" customWidth="1"/>
    <col min="13577" max="13578" width="9.140625" style="251"/>
    <col min="13579" max="13579" width="12.85546875" style="251" bestFit="1" customWidth="1"/>
    <col min="13580" max="13580" width="11.5703125" style="251" customWidth="1"/>
    <col min="13581" max="13583" width="14.7109375" style="251" customWidth="1"/>
    <col min="13584" max="13584" width="31" style="251" customWidth="1"/>
    <col min="13585" max="13585" width="10.28515625" style="251" bestFit="1" customWidth="1"/>
    <col min="13586" max="13824" width="9.140625" style="251"/>
    <col min="13825" max="13825" width="1.7109375" style="251" customWidth="1"/>
    <col min="13826" max="13831" width="0" style="251" hidden="1" customWidth="1"/>
    <col min="13832" max="13832" width="4" style="251" customWidth="1"/>
    <col min="13833" max="13834" width="9.140625" style="251"/>
    <col min="13835" max="13835" width="12.85546875" style="251" bestFit="1" customWidth="1"/>
    <col min="13836" max="13836" width="11.5703125" style="251" customWidth="1"/>
    <col min="13837" max="13839" width="14.7109375" style="251" customWidth="1"/>
    <col min="13840" max="13840" width="31" style="251" customWidth="1"/>
    <col min="13841" max="13841" width="10.28515625" style="251" bestFit="1" customWidth="1"/>
    <col min="13842" max="14080" width="9.140625" style="251"/>
    <col min="14081" max="14081" width="1.7109375" style="251" customWidth="1"/>
    <col min="14082" max="14087" width="0" style="251" hidden="1" customWidth="1"/>
    <col min="14088" max="14088" width="4" style="251" customWidth="1"/>
    <col min="14089" max="14090" width="9.140625" style="251"/>
    <col min="14091" max="14091" width="12.85546875" style="251" bestFit="1" customWidth="1"/>
    <col min="14092" max="14092" width="11.5703125" style="251" customWidth="1"/>
    <col min="14093" max="14095" width="14.7109375" style="251" customWidth="1"/>
    <col min="14096" max="14096" width="31" style="251" customWidth="1"/>
    <col min="14097" max="14097" width="10.28515625" style="251" bestFit="1" customWidth="1"/>
    <col min="14098" max="14336" width="9.140625" style="251"/>
    <col min="14337" max="14337" width="1.7109375" style="251" customWidth="1"/>
    <col min="14338" max="14343" width="0" style="251" hidden="1" customWidth="1"/>
    <col min="14344" max="14344" width="4" style="251" customWidth="1"/>
    <col min="14345" max="14346" width="9.140625" style="251"/>
    <col min="14347" max="14347" width="12.85546875" style="251" bestFit="1" customWidth="1"/>
    <col min="14348" max="14348" width="11.5703125" style="251" customWidth="1"/>
    <col min="14349" max="14351" width="14.7109375" style="251" customWidth="1"/>
    <col min="14352" max="14352" width="31" style="251" customWidth="1"/>
    <col min="14353" max="14353" width="10.28515625" style="251" bestFit="1" customWidth="1"/>
    <col min="14354" max="14592" width="9.140625" style="251"/>
    <col min="14593" max="14593" width="1.7109375" style="251" customWidth="1"/>
    <col min="14594" max="14599" width="0" style="251" hidden="1" customWidth="1"/>
    <col min="14600" max="14600" width="4" style="251" customWidth="1"/>
    <col min="14601" max="14602" width="9.140625" style="251"/>
    <col min="14603" max="14603" width="12.85546875" style="251" bestFit="1" customWidth="1"/>
    <col min="14604" max="14604" width="11.5703125" style="251" customWidth="1"/>
    <col min="14605" max="14607" width="14.7109375" style="251" customWidth="1"/>
    <col min="14608" max="14608" width="31" style="251" customWidth="1"/>
    <col min="14609" max="14609" width="10.28515625" style="251" bestFit="1" customWidth="1"/>
    <col min="14610" max="14848" width="9.140625" style="251"/>
    <col min="14849" max="14849" width="1.7109375" style="251" customWidth="1"/>
    <col min="14850" max="14855" width="0" style="251" hidden="1" customWidth="1"/>
    <col min="14856" max="14856" width="4" style="251" customWidth="1"/>
    <col min="14857" max="14858" width="9.140625" style="251"/>
    <col min="14859" max="14859" width="12.85546875" style="251" bestFit="1" customWidth="1"/>
    <col min="14860" max="14860" width="11.5703125" style="251" customWidth="1"/>
    <col min="14861" max="14863" width="14.7109375" style="251" customWidth="1"/>
    <col min="14864" max="14864" width="31" style="251" customWidth="1"/>
    <col min="14865" max="14865" width="10.28515625" style="251" bestFit="1" customWidth="1"/>
    <col min="14866" max="15104" width="9.140625" style="251"/>
    <col min="15105" max="15105" width="1.7109375" style="251" customWidth="1"/>
    <col min="15106" max="15111" width="0" style="251" hidden="1" customWidth="1"/>
    <col min="15112" max="15112" width="4" style="251" customWidth="1"/>
    <col min="15113" max="15114" width="9.140625" style="251"/>
    <col min="15115" max="15115" width="12.85546875" style="251" bestFit="1" customWidth="1"/>
    <col min="15116" max="15116" width="11.5703125" style="251" customWidth="1"/>
    <col min="15117" max="15119" width="14.7109375" style="251" customWidth="1"/>
    <col min="15120" max="15120" width="31" style="251" customWidth="1"/>
    <col min="15121" max="15121" width="10.28515625" style="251" bestFit="1" customWidth="1"/>
    <col min="15122" max="15360" width="9.140625" style="251"/>
    <col min="15361" max="15361" width="1.7109375" style="251" customWidth="1"/>
    <col min="15362" max="15367" width="0" style="251" hidden="1" customWidth="1"/>
    <col min="15368" max="15368" width="4" style="251" customWidth="1"/>
    <col min="15369" max="15370" width="9.140625" style="251"/>
    <col min="15371" max="15371" width="12.85546875" style="251" bestFit="1" customWidth="1"/>
    <col min="15372" max="15372" width="11.5703125" style="251" customWidth="1"/>
    <col min="15373" max="15375" width="14.7109375" style="251" customWidth="1"/>
    <col min="15376" max="15376" width="31" style="251" customWidth="1"/>
    <col min="15377" max="15377" width="10.28515625" style="251" bestFit="1" customWidth="1"/>
    <col min="15378" max="15616" width="9.140625" style="251"/>
    <col min="15617" max="15617" width="1.7109375" style="251" customWidth="1"/>
    <col min="15618" max="15623" width="0" style="251" hidden="1" customWidth="1"/>
    <col min="15624" max="15624" width="4" style="251" customWidth="1"/>
    <col min="15625" max="15626" width="9.140625" style="251"/>
    <col min="15627" max="15627" width="12.85546875" style="251" bestFit="1" customWidth="1"/>
    <col min="15628" max="15628" width="11.5703125" style="251" customWidth="1"/>
    <col min="15629" max="15631" width="14.7109375" style="251" customWidth="1"/>
    <col min="15632" max="15632" width="31" style="251" customWidth="1"/>
    <col min="15633" max="15633" width="10.28515625" style="251" bestFit="1" customWidth="1"/>
    <col min="15634" max="15872" width="9.140625" style="251"/>
    <col min="15873" max="15873" width="1.7109375" style="251" customWidth="1"/>
    <col min="15874" max="15879" width="0" style="251" hidden="1" customWidth="1"/>
    <col min="15880" max="15880" width="4" style="251" customWidth="1"/>
    <col min="15881" max="15882" width="9.140625" style="251"/>
    <col min="15883" max="15883" width="12.85546875" style="251" bestFit="1" customWidth="1"/>
    <col min="15884" max="15884" width="11.5703125" style="251" customWidth="1"/>
    <col min="15885" max="15887" width="14.7109375" style="251" customWidth="1"/>
    <col min="15888" max="15888" width="31" style="251" customWidth="1"/>
    <col min="15889" max="15889" width="10.28515625" style="251" bestFit="1" customWidth="1"/>
    <col min="15890" max="16128" width="9.140625" style="251"/>
    <col min="16129" max="16129" width="1.7109375" style="251" customWidth="1"/>
    <col min="16130" max="16135" width="0" style="251" hidden="1" customWidth="1"/>
    <col min="16136" max="16136" width="4" style="251" customWidth="1"/>
    <col min="16137" max="16138" width="9.140625" style="251"/>
    <col min="16139" max="16139" width="12.85546875" style="251" bestFit="1" customWidth="1"/>
    <col min="16140" max="16140" width="11.5703125" style="251" customWidth="1"/>
    <col min="16141" max="16143" width="14.7109375" style="251" customWidth="1"/>
    <col min="16144" max="16144" width="31" style="251" customWidth="1"/>
    <col min="16145" max="16145" width="10.28515625" style="251" bestFit="1" customWidth="1"/>
    <col min="16146" max="16384" width="9.140625" style="251"/>
  </cols>
  <sheetData>
    <row r="2" spans="2:16" x14ac:dyDescent="0.2">
      <c r="C2" s="250"/>
      <c r="D2" s="250"/>
      <c r="E2" s="250"/>
      <c r="F2" s="250"/>
      <c r="G2" s="250"/>
      <c r="H2" s="250"/>
      <c r="I2" s="250" t="s">
        <v>113</v>
      </c>
      <c r="J2" s="250"/>
      <c r="K2" s="250"/>
      <c r="L2" s="250"/>
      <c r="M2" s="250"/>
    </row>
    <row r="3" spans="2:16" ht="3" customHeight="1" x14ac:dyDescent="0.2"/>
    <row r="4" spans="2:16" x14ac:dyDescent="0.2">
      <c r="C4" s="250"/>
      <c r="D4" s="250"/>
      <c r="E4" s="250"/>
      <c r="F4" s="250"/>
      <c r="G4" s="250"/>
      <c r="H4" s="250"/>
      <c r="I4" s="250" t="s">
        <v>237</v>
      </c>
      <c r="J4" s="250"/>
      <c r="K4" s="250"/>
      <c r="L4" s="250"/>
      <c r="M4" s="250"/>
    </row>
    <row r="6" spans="2:16" x14ac:dyDescent="0.2">
      <c r="B6" s="686" t="s">
        <v>134</v>
      </c>
      <c r="C6" s="686"/>
      <c r="D6" s="686"/>
      <c r="E6" s="686"/>
      <c r="F6" s="686"/>
      <c r="G6" s="686"/>
      <c r="I6" s="299" t="s">
        <v>135</v>
      </c>
      <c r="J6" s="299"/>
      <c r="K6" s="299"/>
      <c r="L6" s="299"/>
      <c r="M6" s="300" t="s">
        <v>136</v>
      </c>
      <c r="N6" s="300" t="s">
        <v>137</v>
      </c>
      <c r="O6" s="300" t="s">
        <v>138</v>
      </c>
    </row>
    <row r="8" spans="2:16" ht="15" customHeight="1" x14ac:dyDescent="0.2">
      <c r="B8" s="250" t="s">
        <v>139</v>
      </c>
      <c r="C8" s="250"/>
      <c r="D8" s="250"/>
      <c r="E8" s="250"/>
      <c r="F8" s="301">
        <v>-26726</v>
      </c>
      <c r="G8" s="301">
        <v>-26726</v>
      </c>
      <c r="I8" s="250" t="s">
        <v>238</v>
      </c>
      <c r="J8" s="250"/>
      <c r="K8" s="250"/>
      <c r="L8" s="250"/>
      <c r="M8" s="301">
        <v>-6281.0899999999965</v>
      </c>
      <c r="N8" s="301">
        <v>820617.72</v>
      </c>
      <c r="O8" s="301">
        <v>814336.63</v>
      </c>
      <c r="P8" s="302"/>
    </row>
    <row r="9" spans="2:16" ht="15" customHeight="1" x14ac:dyDescent="0.2">
      <c r="F9" s="279"/>
      <c r="G9" s="279"/>
      <c r="M9" s="279"/>
      <c r="N9" s="279"/>
      <c r="O9" s="279"/>
    </row>
    <row r="10" spans="2:16" ht="15" customHeight="1" x14ac:dyDescent="0.2">
      <c r="B10" s="303" t="s">
        <v>140</v>
      </c>
      <c r="E10" s="252">
        <v>0.42</v>
      </c>
      <c r="F10" s="304">
        <v>6444</v>
      </c>
      <c r="G10" s="304">
        <v>6444</v>
      </c>
      <c r="I10" s="250" t="s">
        <v>441</v>
      </c>
      <c r="L10" s="255"/>
      <c r="M10" s="301">
        <v>197478</v>
      </c>
      <c r="N10" s="301">
        <v>329176</v>
      </c>
      <c r="O10" s="301">
        <f>SUM(M10:N10)</f>
        <v>526654</v>
      </c>
    </row>
    <row r="11" spans="2:16" ht="15" customHeight="1" x14ac:dyDescent="0.2">
      <c r="B11" s="303" t="s">
        <v>141</v>
      </c>
      <c r="E11" s="252">
        <v>0.42</v>
      </c>
      <c r="F11" s="304">
        <v>6444</v>
      </c>
      <c r="G11" s="304">
        <v>6444</v>
      </c>
      <c r="I11" s="303"/>
      <c r="L11" s="252"/>
      <c r="M11" s="304"/>
      <c r="N11" s="304"/>
      <c r="O11" s="304"/>
    </row>
    <row r="12" spans="2:16" ht="15" customHeight="1" x14ac:dyDescent="0.2">
      <c r="B12" s="303" t="s">
        <v>142</v>
      </c>
      <c r="E12" s="252">
        <v>0.42</v>
      </c>
      <c r="F12" s="304">
        <v>6444</v>
      </c>
      <c r="G12" s="304">
        <v>6444</v>
      </c>
      <c r="I12" s="250" t="s">
        <v>442</v>
      </c>
      <c r="L12" s="255"/>
      <c r="M12" s="301">
        <f>-'[3]CAPITAL 2023 BUDGET'!G26</f>
        <v>-151797.29000000004</v>
      </c>
      <c r="N12" s="301">
        <f>-'[3]MAJOR 2023 BUDGET'!G15</f>
        <v>-148276.264</v>
      </c>
      <c r="O12" s="301">
        <f>SUM(M12:N12)</f>
        <v>-300073.554</v>
      </c>
    </row>
    <row r="13" spans="2:16" ht="15" customHeight="1" thickBot="1" x14ac:dyDescent="0.25">
      <c r="B13" s="303" t="s">
        <v>143</v>
      </c>
      <c r="E13" s="252">
        <v>0.42</v>
      </c>
      <c r="F13" s="304">
        <v>6444</v>
      </c>
      <c r="G13" s="304">
        <v>6444</v>
      </c>
      <c r="I13" s="303"/>
      <c r="L13" s="252"/>
      <c r="M13" s="304"/>
      <c r="N13" s="279"/>
      <c r="O13" s="279"/>
    </row>
    <row r="14" spans="2:16" ht="15" customHeight="1" thickTop="1" thickBot="1" x14ac:dyDescent="0.25">
      <c r="B14" s="303" t="s">
        <v>144</v>
      </c>
      <c r="E14" s="252">
        <v>0.42</v>
      </c>
      <c r="F14" s="304">
        <v>6444</v>
      </c>
      <c r="G14" s="304">
        <v>6444</v>
      </c>
      <c r="I14" s="305" t="s">
        <v>443</v>
      </c>
      <c r="J14" s="305"/>
      <c r="K14" s="305"/>
      <c r="L14" s="305"/>
      <c r="M14" s="306">
        <f>SUM(M8:M12)</f>
        <v>39399.619999999966</v>
      </c>
      <c r="N14" s="306">
        <f>SUM(N8:N12)</f>
        <v>1001517.456</v>
      </c>
      <c r="O14" s="306">
        <f>SUM(M14:N14)</f>
        <v>1040917.076</v>
      </c>
      <c r="P14" s="307"/>
    </row>
    <row r="15" spans="2:16" ht="15" customHeight="1" thickTop="1" x14ac:dyDescent="0.2">
      <c r="B15" s="303" t="s">
        <v>145</v>
      </c>
      <c r="E15" s="252">
        <v>0.42</v>
      </c>
      <c r="F15" s="304">
        <v>6444</v>
      </c>
      <c r="G15" s="304">
        <v>6444</v>
      </c>
      <c r="I15" s="303"/>
      <c r="L15" s="252"/>
      <c r="M15" s="304"/>
      <c r="N15" s="279"/>
      <c r="O15" s="279"/>
    </row>
    <row r="16" spans="2:16" ht="15" hidden="1" customHeight="1" x14ac:dyDescent="0.2">
      <c r="B16" s="303" t="s">
        <v>146</v>
      </c>
      <c r="E16" s="252">
        <f>1.06</f>
        <v>1.06</v>
      </c>
      <c r="F16" s="304">
        <f>6444/0.42*1.06</f>
        <v>16263.428571428572</v>
      </c>
      <c r="G16" s="304">
        <v>16134.7</v>
      </c>
      <c r="I16" s="250" t="s">
        <v>444</v>
      </c>
      <c r="L16" s="255"/>
      <c r="M16" s="414">
        <f>16456*0</f>
        <v>0</v>
      </c>
      <c r="N16" s="414">
        <f>27423*0</f>
        <v>0</v>
      </c>
      <c r="O16" s="301">
        <f>SUM(M16:N16)</f>
        <v>0</v>
      </c>
    </row>
    <row r="17" spans="2:15" ht="15" hidden="1" customHeight="1" x14ac:dyDescent="0.2">
      <c r="B17" s="303" t="s">
        <v>147</v>
      </c>
      <c r="E17" s="252">
        <f>1.06</f>
        <v>1.06</v>
      </c>
      <c r="F17" s="304">
        <f>6444/0.42*1.06</f>
        <v>16263.428571428572</v>
      </c>
      <c r="G17" s="304">
        <v>16134.7</v>
      </c>
      <c r="I17" s="303"/>
      <c r="L17" s="252"/>
      <c r="M17" s="304"/>
      <c r="N17" s="279"/>
      <c r="O17" s="279"/>
    </row>
    <row r="18" spans="2:15" ht="15" hidden="1" customHeight="1" x14ac:dyDescent="0.2">
      <c r="B18" s="303"/>
      <c r="E18" s="252"/>
      <c r="F18" s="304"/>
      <c r="G18" s="304"/>
      <c r="I18" s="250" t="s">
        <v>445</v>
      </c>
      <c r="L18" s="255"/>
      <c r="M18" s="414">
        <f>-'[3]CAPITAL 2023 BUDGET'!I26</f>
        <v>0</v>
      </c>
      <c r="N18" s="414">
        <f>-'[3]MAJOR 2023 BUDGET'!I15</f>
        <v>0</v>
      </c>
      <c r="O18" s="301">
        <f>SUM(M18:N18)</f>
        <v>0</v>
      </c>
    </row>
    <row r="19" spans="2:15" ht="15" hidden="1" customHeight="1" thickBot="1" x14ac:dyDescent="0.25">
      <c r="B19" s="303"/>
      <c r="E19" s="252"/>
      <c r="F19" s="304"/>
      <c r="G19" s="304"/>
      <c r="I19" s="303"/>
      <c r="L19" s="252"/>
      <c r="M19" s="304"/>
      <c r="N19" s="279"/>
      <c r="O19" s="279"/>
    </row>
    <row r="20" spans="2:15" ht="15" hidden="1" customHeight="1" thickTop="1" thickBot="1" x14ac:dyDescent="0.25">
      <c r="B20" s="303"/>
      <c r="E20" s="252"/>
      <c r="F20" s="304"/>
      <c r="G20" s="304"/>
      <c r="I20" s="305" t="s">
        <v>239</v>
      </c>
      <c r="J20" s="305"/>
      <c r="K20" s="305"/>
      <c r="L20" s="305"/>
      <c r="M20" s="306">
        <f>SUM(M14:M19)</f>
        <v>39399.619999999966</v>
      </c>
      <c r="N20" s="306">
        <f>SUM(N14:N19)</f>
        <v>1001517.456</v>
      </c>
      <c r="O20" s="306">
        <f>SUM(M20:N20)</f>
        <v>1040917.076</v>
      </c>
    </row>
    <row r="21" spans="2:15" ht="15" customHeight="1" x14ac:dyDescent="0.2">
      <c r="B21" s="303"/>
      <c r="E21" s="252"/>
      <c r="F21" s="304"/>
      <c r="G21" s="304"/>
      <c r="I21" s="303"/>
      <c r="L21" s="252"/>
      <c r="M21" s="304"/>
      <c r="N21" s="279"/>
      <c r="O21" s="279"/>
    </row>
    <row r="22" spans="2:15" ht="15" customHeight="1" x14ac:dyDescent="0.2">
      <c r="B22" s="303"/>
      <c r="E22" s="252"/>
      <c r="F22" s="304"/>
      <c r="G22" s="304"/>
      <c r="I22" s="303"/>
      <c r="L22" s="252"/>
      <c r="M22" s="304"/>
      <c r="N22" s="279"/>
      <c r="O22" s="279"/>
    </row>
    <row r="24" spans="2:15" ht="18" x14ac:dyDescent="0.25">
      <c r="O24" s="281"/>
    </row>
    <row r="28" spans="2:15" x14ac:dyDescent="0.2">
      <c r="M28" s="279"/>
      <c r="N28" s="279"/>
      <c r="O28" s="279"/>
    </row>
    <row r="29" spans="2:15" x14ac:dyDescent="0.2">
      <c r="M29" s="279"/>
      <c r="N29" s="279"/>
      <c r="O29" s="279"/>
    </row>
    <row r="30" spans="2:15" x14ac:dyDescent="0.2">
      <c r="M30" s="279"/>
      <c r="N30" s="279"/>
      <c r="O30" s="279"/>
    </row>
    <row r="31" spans="2:15" x14ac:dyDescent="0.2">
      <c r="M31" s="279"/>
      <c r="N31" s="279"/>
      <c r="O31" s="279"/>
    </row>
    <row r="45" spans="15:16" ht="18" x14ac:dyDescent="0.25">
      <c r="O45" s="281"/>
      <c r="P45" s="308"/>
    </row>
  </sheetData>
  <mergeCells count="1">
    <mergeCell ref="B6:G6"/>
  </mergeCells>
  <pageMargins left="0.95" right="0.2" top="1.25" bottom="0.2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ED6E-64D7-4AC7-8981-D864002C9CBE}">
  <dimension ref="A1:T173"/>
  <sheetViews>
    <sheetView topLeftCell="A12" zoomScaleNormal="100" workbookViewId="0">
      <selection activeCell="W21" sqref="W21"/>
    </sheetView>
  </sheetViews>
  <sheetFormatPr defaultRowHeight="15" x14ac:dyDescent="0.25"/>
  <cols>
    <col min="1" max="1" width="3.42578125" customWidth="1"/>
    <col min="2" max="2" width="28.140625" customWidth="1"/>
    <col min="3" max="3" width="3.7109375" customWidth="1"/>
    <col min="4" max="6" width="16.7109375" customWidth="1"/>
    <col min="7" max="7" width="3.7109375" style="234" customWidth="1"/>
    <col min="8" max="8" width="15.5703125" customWidth="1"/>
    <col min="9" max="9" width="11" style="359" customWidth="1"/>
    <col min="10" max="10" width="2.28515625" style="234" customWidth="1"/>
    <col min="11" max="11" width="15.28515625" hidden="1" customWidth="1"/>
    <col min="12" max="12" width="0" style="359" hidden="1" customWidth="1"/>
    <col min="13" max="13" width="9.140625" style="410"/>
    <col min="14" max="20" width="9.140625" style="234"/>
  </cols>
  <sheetData>
    <row r="1" spans="1:12" x14ac:dyDescent="0.25">
      <c r="A1" s="1"/>
      <c r="B1" s="2" t="s">
        <v>512</v>
      </c>
      <c r="C1" s="3"/>
      <c r="D1" s="3"/>
      <c r="E1" s="3"/>
      <c r="F1" s="3"/>
      <c r="H1" s="234"/>
      <c r="I1" s="350"/>
      <c r="K1" s="234"/>
      <c r="L1" s="350"/>
    </row>
    <row r="2" spans="1:12" ht="15.75" thickBot="1" x14ac:dyDescent="0.3">
      <c r="A2" s="7"/>
      <c r="B2" s="7"/>
      <c r="C2" s="8"/>
      <c r="D2" s="8"/>
      <c r="E2" s="8"/>
      <c r="F2" s="8"/>
      <c r="H2" s="234"/>
      <c r="I2" s="350"/>
      <c r="K2" s="234"/>
      <c r="L2" s="350"/>
    </row>
    <row r="3" spans="1:12" ht="15.75" thickBot="1" x14ac:dyDescent="0.3">
      <c r="A3" s="7"/>
      <c r="B3" s="207" t="s">
        <v>0</v>
      </c>
      <c r="C3" s="8"/>
      <c r="D3" s="416" t="s">
        <v>513</v>
      </c>
      <c r="E3" s="416" t="s">
        <v>514</v>
      </c>
      <c r="F3" s="416" t="s">
        <v>561</v>
      </c>
      <c r="H3" s="417" t="s">
        <v>515</v>
      </c>
      <c r="I3" s="351" t="s">
        <v>151</v>
      </c>
      <c r="K3" s="235" t="s">
        <v>155</v>
      </c>
      <c r="L3" s="351" t="s">
        <v>151</v>
      </c>
    </row>
    <row r="4" spans="1:12" ht="15.75" thickBot="1" x14ac:dyDescent="0.3">
      <c r="A4" s="1"/>
      <c r="B4" s="1"/>
      <c r="C4" s="3"/>
      <c r="D4" s="5"/>
      <c r="E4" s="5"/>
      <c r="F4" s="5"/>
      <c r="H4" s="6"/>
      <c r="I4" s="352"/>
      <c r="K4" s="6"/>
      <c r="L4" s="352"/>
    </row>
    <row r="5" spans="1:12" ht="15.75" thickBot="1" x14ac:dyDescent="0.3">
      <c r="A5" s="1"/>
      <c r="B5" s="202" t="s">
        <v>15</v>
      </c>
      <c r="C5" s="3"/>
      <c r="D5" s="309">
        <v>886156.05999999994</v>
      </c>
      <c r="E5" s="309">
        <v>853088.57000000007</v>
      </c>
      <c r="F5" s="675">
        <v>825711.92</v>
      </c>
      <c r="H5" s="248">
        <f>D5-E5</f>
        <v>33067.489999999874</v>
      </c>
      <c r="I5" s="346">
        <f>+H5/E5</f>
        <v>3.8762083050766782E-2</v>
      </c>
      <c r="K5" s="248" t="e">
        <f>#REF!-#REF!</f>
        <v>#REF!</v>
      </c>
      <c r="L5" s="346" t="e">
        <f>+K5/#REF!</f>
        <v>#REF!</v>
      </c>
    </row>
    <row r="6" spans="1:12" x14ac:dyDescent="0.25">
      <c r="A6" s="2"/>
      <c r="B6" s="203" t="s">
        <v>16</v>
      </c>
      <c r="C6" s="4"/>
      <c r="D6" s="310">
        <f>SUM(D5)</f>
        <v>886156.05999999994</v>
      </c>
      <c r="E6" s="310">
        <f>SUM(E5)</f>
        <v>853088.57000000007</v>
      </c>
      <c r="F6" s="674">
        <f>SUM(F5)</f>
        <v>825711.92</v>
      </c>
      <c r="H6" s="237">
        <f t="shared" ref="H6:H25" si="0">D6-E6</f>
        <v>33067.489999999874</v>
      </c>
      <c r="I6" s="347">
        <f t="shared" ref="I6:I25" si="1">+H6/E6</f>
        <v>3.8762083050766782E-2</v>
      </c>
      <c r="K6" s="237" t="e">
        <f>#REF!-#REF!</f>
        <v>#REF!</v>
      </c>
      <c r="L6" s="347" t="e">
        <f>+K6/#REF!</f>
        <v>#REF!</v>
      </c>
    </row>
    <row r="7" spans="1:12" x14ac:dyDescent="0.25">
      <c r="A7" s="1"/>
      <c r="B7" s="204"/>
      <c r="C7" s="3"/>
      <c r="D7" s="311"/>
      <c r="E7" s="311"/>
      <c r="F7" s="311"/>
      <c r="H7" s="238"/>
      <c r="I7" s="348"/>
      <c r="K7" s="370" t="e">
        <f>+K6/#REF!</f>
        <v>#REF!</v>
      </c>
      <c r="L7" s="348"/>
    </row>
    <row r="8" spans="1:12" x14ac:dyDescent="0.25">
      <c r="A8" s="1"/>
      <c r="B8" s="204" t="s">
        <v>17</v>
      </c>
      <c r="C8" s="3"/>
      <c r="D8" s="311">
        <v>302023.66000000003</v>
      </c>
      <c r="E8" s="311">
        <v>301519.84128000005</v>
      </c>
      <c r="F8" s="311">
        <v>312697.38</v>
      </c>
      <c r="H8" s="237">
        <f t="shared" si="0"/>
        <v>503.81871999998111</v>
      </c>
      <c r="I8" s="347">
        <f t="shared" si="1"/>
        <v>1.6709305691499103E-3</v>
      </c>
      <c r="K8" s="237" t="e">
        <f>#REF!-#REF!</f>
        <v>#REF!</v>
      </c>
      <c r="L8" s="347" t="e">
        <f>+K8/#REF!</f>
        <v>#REF!</v>
      </c>
    </row>
    <row r="9" spans="1:12" x14ac:dyDescent="0.25">
      <c r="A9" s="1"/>
      <c r="B9" s="204" t="s">
        <v>18</v>
      </c>
      <c r="C9" s="3"/>
      <c r="D9" s="311">
        <v>298954.56</v>
      </c>
      <c r="E9" s="311">
        <v>306878.99936720467</v>
      </c>
      <c r="F9" s="311">
        <v>261283.40000000002</v>
      </c>
      <c r="H9" s="237">
        <f t="shared" si="0"/>
        <v>-7924.4393672046717</v>
      </c>
      <c r="I9" s="347">
        <f t="shared" si="1"/>
        <v>-2.5822683805490586E-2</v>
      </c>
      <c r="K9" s="237" t="e">
        <f>#REF!-#REF!</f>
        <v>#REF!</v>
      </c>
      <c r="L9" s="347" t="e">
        <f>+K9/#REF!</f>
        <v>#REF!</v>
      </c>
    </row>
    <row r="10" spans="1:12" x14ac:dyDescent="0.25">
      <c r="A10" s="1"/>
      <c r="B10" s="204" t="s">
        <v>19</v>
      </c>
      <c r="C10" s="3"/>
      <c r="D10" s="311">
        <v>118331.75</v>
      </c>
      <c r="E10" s="311">
        <v>125803.67502105611</v>
      </c>
      <c r="F10" s="311">
        <v>125903.15500000001</v>
      </c>
      <c r="H10" s="237">
        <f t="shared" si="0"/>
        <v>-7471.9250210561149</v>
      </c>
      <c r="I10" s="347">
        <f t="shared" si="1"/>
        <v>-5.93935353621865E-2</v>
      </c>
      <c r="K10" s="237" t="e">
        <f>#REF!-#REF!</f>
        <v>#REF!</v>
      </c>
      <c r="L10" s="347" t="e">
        <f>+K10/#REF!</f>
        <v>#REF!</v>
      </c>
    </row>
    <row r="11" spans="1:12" x14ac:dyDescent="0.25">
      <c r="A11" s="1"/>
      <c r="B11" s="204" t="s">
        <v>20</v>
      </c>
      <c r="C11" s="3"/>
      <c r="D11" s="311">
        <v>23647.439999999999</v>
      </c>
      <c r="E11" s="311">
        <v>25463.033199999998</v>
      </c>
      <c r="F11" s="311">
        <v>26289.18</v>
      </c>
      <c r="H11" s="237">
        <f t="shared" si="0"/>
        <v>-1815.5931999999993</v>
      </c>
      <c r="I11" s="347">
        <f t="shared" si="1"/>
        <v>-7.1303099899347397E-2</v>
      </c>
      <c r="K11" s="237" t="e">
        <f>#REF!-#REF!</f>
        <v>#REF!</v>
      </c>
      <c r="L11" s="347" t="e">
        <f>+K11/#REF!</f>
        <v>#REF!</v>
      </c>
    </row>
    <row r="12" spans="1:12" ht="15.75" thickBot="1" x14ac:dyDescent="0.3">
      <c r="A12" s="1"/>
      <c r="B12" s="205" t="s">
        <v>21</v>
      </c>
      <c r="C12" s="3"/>
      <c r="D12" s="312">
        <v>115878.48999999999</v>
      </c>
      <c r="E12" s="312">
        <v>99210</v>
      </c>
      <c r="F12" s="311">
        <v>99734.37999999999</v>
      </c>
      <c r="H12" s="246">
        <f t="shared" si="0"/>
        <v>16668.489999999991</v>
      </c>
      <c r="I12" s="349">
        <f t="shared" si="1"/>
        <v>0.16801219635117418</v>
      </c>
      <c r="K12" s="246" t="e">
        <f>#REF!-#REF!</f>
        <v>#REF!</v>
      </c>
      <c r="L12" s="349" t="e">
        <f>+K12/#REF!</f>
        <v>#REF!</v>
      </c>
    </row>
    <row r="13" spans="1:12" x14ac:dyDescent="0.25">
      <c r="A13" s="2"/>
      <c r="B13" s="203" t="s">
        <v>22</v>
      </c>
      <c r="C13" s="4"/>
      <c r="D13" s="313">
        <f>SUM(D8:D12)</f>
        <v>858835.89999999991</v>
      </c>
      <c r="E13" s="313">
        <f>SUM(E8:E12)</f>
        <v>858875.54886826081</v>
      </c>
      <c r="F13" s="313">
        <f>SUM(F8:F12)</f>
        <v>825907.49500000011</v>
      </c>
      <c r="H13" s="239">
        <f t="shared" si="0"/>
        <v>-39.648868260905147</v>
      </c>
      <c r="I13" s="348">
        <f t="shared" si="1"/>
        <v>-4.6163694278117952E-5</v>
      </c>
      <c r="K13" s="239" t="e">
        <f>#REF!-#REF!</f>
        <v>#REF!</v>
      </c>
      <c r="L13" s="348" t="e">
        <f>+K13/#REF!</f>
        <v>#REF!</v>
      </c>
    </row>
    <row r="14" spans="1:12" x14ac:dyDescent="0.25">
      <c r="A14" s="1"/>
      <c r="B14" s="204"/>
      <c r="C14" s="3"/>
      <c r="D14" s="311"/>
      <c r="E14" s="311"/>
      <c r="F14" s="311"/>
      <c r="H14" s="240"/>
      <c r="I14" s="347"/>
      <c r="K14" s="371" t="e">
        <f>+K13/#REF!</f>
        <v>#REF!</v>
      </c>
      <c r="L14" s="347"/>
    </row>
    <row r="15" spans="1:12" x14ac:dyDescent="0.25">
      <c r="A15" s="1"/>
      <c r="B15" s="204" t="s">
        <v>23</v>
      </c>
      <c r="C15" s="3"/>
      <c r="D15" s="311">
        <v>-1202228</v>
      </c>
      <c r="E15" s="311">
        <v>-1138588.78</v>
      </c>
      <c r="F15" s="311">
        <v>-1140358</v>
      </c>
      <c r="H15" s="237">
        <f t="shared" si="0"/>
        <v>-63639.219999999972</v>
      </c>
      <c r="I15" s="347">
        <f t="shared" si="1"/>
        <v>5.589306790815203E-2</v>
      </c>
      <c r="K15" s="237" t="e">
        <f>#REF!-#REF!</f>
        <v>#REF!</v>
      </c>
      <c r="L15" s="347" t="e">
        <f>+K15/#REF!</f>
        <v>#REF!</v>
      </c>
    </row>
    <row r="16" spans="1:12" x14ac:dyDescent="0.25">
      <c r="A16" s="1"/>
      <c r="B16" s="204" t="s">
        <v>24</v>
      </c>
      <c r="C16" s="3"/>
      <c r="D16" s="311">
        <v>1202228</v>
      </c>
      <c r="E16" s="311">
        <v>1138588.78</v>
      </c>
      <c r="F16" s="311">
        <v>1140358</v>
      </c>
      <c r="H16" s="237">
        <f t="shared" si="0"/>
        <v>63639.219999999972</v>
      </c>
      <c r="I16" s="347">
        <f t="shared" si="1"/>
        <v>5.589306790815203E-2</v>
      </c>
      <c r="K16" s="237" t="e">
        <f>#REF!-#REF!</f>
        <v>#REF!</v>
      </c>
      <c r="L16" s="347" t="e">
        <f>+K16/#REF!</f>
        <v>#REF!</v>
      </c>
    </row>
    <row r="17" spans="1:12" ht="15.75" thickBot="1" x14ac:dyDescent="0.3">
      <c r="A17" s="1"/>
      <c r="B17" s="205" t="s">
        <v>25</v>
      </c>
      <c r="C17" s="3"/>
      <c r="D17" s="311"/>
      <c r="E17" s="311"/>
      <c r="F17" s="311"/>
      <c r="H17" s="246"/>
      <c r="I17" s="349"/>
      <c r="K17" s="246" t="e">
        <f>#REF!-#REF!</f>
        <v>#REF!</v>
      </c>
      <c r="L17" s="349"/>
    </row>
    <row r="18" spans="1:12" x14ac:dyDescent="0.25">
      <c r="A18" s="2"/>
      <c r="B18" s="203" t="s">
        <v>26</v>
      </c>
      <c r="C18" s="4"/>
      <c r="D18" s="313">
        <f>SUM(D15:D17)</f>
        <v>0</v>
      </c>
      <c r="E18" s="313">
        <f>SUM(E15:E17)</f>
        <v>0</v>
      </c>
      <c r="F18" s="313">
        <f>SUM(F15:F17)</f>
        <v>0</v>
      </c>
      <c r="H18" s="237"/>
      <c r="I18" s="347"/>
      <c r="K18" s="237" t="e">
        <f>#REF!-#REF!</f>
        <v>#REF!</v>
      </c>
      <c r="L18" s="347"/>
    </row>
    <row r="19" spans="1:12" x14ac:dyDescent="0.25">
      <c r="A19" s="1"/>
      <c r="B19" s="204"/>
      <c r="C19" s="3"/>
      <c r="D19" s="311"/>
      <c r="E19" s="311"/>
      <c r="F19" s="311"/>
      <c r="H19" s="237"/>
      <c r="I19" s="347"/>
      <c r="K19" s="237" t="e">
        <f>#REF!-#REF!</f>
        <v>#REF!</v>
      </c>
      <c r="L19" s="347"/>
    </row>
    <row r="20" spans="1:12" x14ac:dyDescent="0.25">
      <c r="A20" s="1"/>
      <c r="B20" s="204" t="s">
        <v>27</v>
      </c>
      <c r="C20" s="3"/>
      <c r="D20" s="315">
        <v>-49371</v>
      </c>
      <c r="E20" s="315">
        <v>-49371</v>
      </c>
      <c r="F20" s="315">
        <v>-48402</v>
      </c>
      <c r="H20" s="237">
        <f t="shared" si="0"/>
        <v>0</v>
      </c>
      <c r="I20" s="347">
        <f t="shared" si="1"/>
        <v>0</v>
      </c>
      <c r="K20" s="237" t="e">
        <f>#REF!-#REF!</f>
        <v>#REF!</v>
      </c>
      <c r="L20" s="347" t="e">
        <f>+K20/#REF!</f>
        <v>#REF!</v>
      </c>
    </row>
    <row r="21" spans="1:12" x14ac:dyDescent="0.25">
      <c r="A21" s="1"/>
      <c r="B21" s="204" t="s">
        <v>28</v>
      </c>
      <c r="C21" s="3"/>
      <c r="D21" s="315">
        <v>-82293</v>
      </c>
      <c r="E21" s="315">
        <v>-82293</v>
      </c>
      <c r="F21" s="315">
        <v>-80670</v>
      </c>
      <c r="H21" s="237">
        <f t="shared" si="0"/>
        <v>0</v>
      </c>
      <c r="I21" s="347">
        <f t="shared" si="1"/>
        <v>0</v>
      </c>
      <c r="K21" s="237" t="e">
        <f>#REF!-#REF!</f>
        <v>#REF!</v>
      </c>
      <c r="L21" s="347" t="e">
        <f>+K21/#REF!</f>
        <v>#REF!</v>
      </c>
    </row>
    <row r="22" spans="1:12" ht="15.75" thickBot="1" x14ac:dyDescent="0.3">
      <c r="A22" s="1"/>
      <c r="B22" s="205" t="s">
        <v>29</v>
      </c>
      <c r="C22" s="3"/>
      <c r="D22" s="316">
        <v>131664</v>
      </c>
      <c r="E22" s="316">
        <v>131664</v>
      </c>
      <c r="F22" s="315">
        <v>129072</v>
      </c>
      <c r="H22" s="246">
        <f t="shared" si="0"/>
        <v>0</v>
      </c>
      <c r="I22" s="349">
        <f t="shared" si="1"/>
        <v>0</v>
      </c>
      <c r="K22" s="246" t="e">
        <f>#REF!-#REF!</f>
        <v>#REF!</v>
      </c>
      <c r="L22" s="349" t="e">
        <f>+K22/#REF!</f>
        <v>#REF!</v>
      </c>
    </row>
    <row r="23" spans="1:12" x14ac:dyDescent="0.25">
      <c r="A23" s="2"/>
      <c r="B23" s="203" t="s">
        <v>30</v>
      </c>
      <c r="C23" s="4"/>
      <c r="D23" s="313">
        <f>SUM(D20:D22)</f>
        <v>0</v>
      </c>
      <c r="E23" s="313">
        <f>SUM(E20:E22)</f>
        <v>0</v>
      </c>
      <c r="F23" s="313">
        <f>SUM(F20:F22)</f>
        <v>0</v>
      </c>
      <c r="H23" s="237"/>
      <c r="I23" s="347"/>
      <c r="K23" s="237" t="e">
        <f>#REF!-#REF!</f>
        <v>#REF!</v>
      </c>
      <c r="L23" s="347"/>
    </row>
    <row r="24" spans="1:12" x14ac:dyDescent="0.25">
      <c r="A24" s="1"/>
      <c r="B24" s="204"/>
      <c r="C24" s="3"/>
      <c r="D24" s="418"/>
      <c r="E24" s="418"/>
      <c r="F24" s="311"/>
      <c r="H24" s="237"/>
      <c r="I24" s="347"/>
      <c r="K24" s="237" t="e">
        <f>#REF!-#REF!</f>
        <v>#REF!</v>
      </c>
      <c r="L24" s="347"/>
    </row>
    <row r="25" spans="1:12" ht="15.75" thickBot="1" x14ac:dyDescent="0.3">
      <c r="A25" s="1"/>
      <c r="B25" s="206" t="s">
        <v>31</v>
      </c>
      <c r="C25" s="4"/>
      <c r="D25" s="343">
        <f>D6-D13-D18-D23</f>
        <v>27320.160000000033</v>
      </c>
      <c r="E25" s="343">
        <f>E6-E13-E18-E23</f>
        <v>-5786.9788682607468</v>
      </c>
      <c r="F25" s="343">
        <f>F6-F13-F18-F23</f>
        <v>-195.57500000006985</v>
      </c>
      <c r="H25" s="241">
        <f t="shared" si="0"/>
        <v>33107.138868260779</v>
      </c>
      <c r="I25" s="353">
        <f t="shared" si="1"/>
        <v>-5.720971101145734</v>
      </c>
      <c r="K25" s="241" t="e">
        <f>#REF!-#REF!</f>
        <v>#REF!</v>
      </c>
      <c r="L25" s="353"/>
    </row>
    <row r="26" spans="1:12" x14ac:dyDescent="0.25">
      <c r="A26" s="1"/>
      <c r="B26" s="2"/>
      <c r="C26" s="4"/>
      <c r="D26" s="47"/>
      <c r="E26" s="47"/>
      <c r="F26" s="47"/>
      <c r="H26" s="231"/>
      <c r="I26" s="231"/>
      <c r="K26" s="231"/>
      <c r="L26" s="231"/>
    </row>
    <row r="27" spans="1:12" ht="15.75" thickBot="1" x14ac:dyDescent="0.3">
      <c r="A27" s="1"/>
      <c r="B27" s="48"/>
      <c r="C27" s="49"/>
      <c r="D27" s="3"/>
      <c r="E27" s="3"/>
      <c r="F27" s="3"/>
      <c r="H27" s="3"/>
      <c r="I27" s="354"/>
      <c r="K27" s="3"/>
      <c r="L27" s="354"/>
    </row>
    <row r="28" spans="1:12" ht="15.75" thickBot="1" x14ac:dyDescent="0.3">
      <c r="A28" s="1"/>
      <c r="B28" s="208" t="s">
        <v>35</v>
      </c>
      <c r="C28" s="4"/>
      <c r="D28" s="62"/>
      <c r="E28" s="62"/>
      <c r="F28" s="62"/>
      <c r="H28" s="62"/>
      <c r="I28" s="355"/>
      <c r="K28" s="62"/>
      <c r="L28" s="355"/>
    </row>
    <row r="29" spans="1:12" ht="15.75" thickBot="1" x14ac:dyDescent="0.3">
      <c r="A29" s="1"/>
      <c r="B29" s="48"/>
      <c r="C29" s="49"/>
      <c r="D29" s="59"/>
      <c r="E29" s="59"/>
      <c r="F29" s="59"/>
      <c r="H29" s="59"/>
      <c r="I29" s="356"/>
      <c r="K29" s="59"/>
      <c r="L29" s="356"/>
    </row>
    <row r="30" spans="1:12" ht="15.75" thickBot="1" x14ac:dyDescent="0.3">
      <c r="A30" s="1"/>
      <c r="B30" s="209" t="s">
        <v>37</v>
      </c>
      <c r="C30" s="4"/>
      <c r="D30" s="416" t="str">
        <f t="shared" ref="D30" si="2">D3</f>
        <v>ACTUAL 2024 - Q1</v>
      </c>
      <c r="E30" s="416" t="str">
        <f>E3</f>
        <v>BUDGET 2024 - Q1</v>
      </c>
      <c r="F30" s="416" t="str">
        <f>F3</f>
        <v>ACTUAL 2023 - Q1</v>
      </c>
      <c r="H30" s="235" t="str">
        <f>+H$3</f>
        <v>B 2024 vs Q1 2024</v>
      </c>
      <c r="I30" s="372" t="str">
        <f>+I$3</f>
        <v>%</v>
      </c>
      <c r="K30" s="235" t="str">
        <f>+K$3</f>
        <v>Act 2021 vs Bud 2021</v>
      </c>
      <c r="L30" s="372" t="str">
        <f>+L$3</f>
        <v>%</v>
      </c>
    </row>
    <row r="31" spans="1:12" x14ac:dyDescent="0.25">
      <c r="A31" s="1"/>
      <c r="B31" s="204" t="s">
        <v>38</v>
      </c>
      <c r="C31" s="3"/>
      <c r="D31" s="311">
        <v>685134</v>
      </c>
      <c r="E31" s="311">
        <v>682383</v>
      </c>
      <c r="F31" s="317">
        <v>679658</v>
      </c>
      <c r="H31" s="360">
        <f t="shared" ref="H31:H41" si="3">D31-E31</f>
        <v>2751</v>
      </c>
      <c r="I31" s="363">
        <f t="shared" ref="I31:I41" si="4">+H31/E31</f>
        <v>4.0314603382557886E-3</v>
      </c>
      <c r="K31" s="360" t="e">
        <f>#REF!-#REF!</f>
        <v>#REF!</v>
      </c>
      <c r="L31" s="363" t="e">
        <f>+K31/#REF!</f>
        <v>#REF!</v>
      </c>
    </row>
    <row r="32" spans="1:12" x14ac:dyDescent="0.25">
      <c r="A32" s="1"/>
      <c r="B32" s="204" t="s">
        <v>39</v>
      </c>
      <c r="C32" s="3"/>
      <c r="D32" s="311">
        <v>19284</v>
      </c>
      <c r="E32" s="311">
        <v>18576.900000000001</v>
      </c>
      <c r="F32" s="311">
        <v>19289</v>
      </c>
      <c r="H32" s="360">
        <f t="shared" si="3"/>
        <v>707.09999999999854</v>
      </c>
      <c r="I32" s="363">
        <f t="shared" si="4"/>
        <v>3.8063401320995345E-2</v>
      </c>
      <c r="K32" s="360" t="e">
        <f>#REF!-#REF!</f>
        <v>#REF!</v>
      </c>
      <c r="L32" s="363" t="e">
        <f>+K32/#REF!</f>
        <v>#REF!</v>
      </c>
    </row>
    <row r="33" spans="1:12" x14ac:dyDescent="0.25">
      <c r="A33" s="1"/>
      <c r="B33" s="204" t="s">
        <v>40</v>
      </c>
      <c r="C33" s="3"/>
      <c r="D33" s="311">
        <v>0</v>
      </c>
      <c r="E33" s="311">
        <v>0</v>
      </c>
      <c r="F33" s="311"/>
      <c r="H33" s="360"/>
      <c r="I33" s="363"/>
      <c r="K33" s="360" t="e">
        <f>#REF!-#REF!</f>
        <v>#REF!</v>
      </c>
      <c r="L33" s="363"/>
    </row>
    <row r="34" spans="1:12" x14ac:dyDescent="0.25">
      <c r="A34" s="1"/>
      <c r="B34" s="204" t="s">
        <v>41</v>
      </c>
      <c r="C34" s="3"/>
      <c r="D34" s="311">
        <v>156242.84</v>
      </c>
      <c r="E34" s="311">
        <v>123175.67</v>
      </c>
      <c r="F34" s="311">
        <v>96979.87</v>
      </c>
      <c r="H34" s="360">
        <f t="shared" si="3"/>
        <v>33067.17</v>
      </c>
      <c r="I34" s="363">
        <f t="shared" si="4"/>
        <v>0.26845536947353321</v>
      </c>
      <c r="K34" s="360" t="e">
        <f>#REF!-#REF!</f>
        <v>#REF!</v>
      </c>
      <c r="L34" s="363" t="e">
        <f>+K34/#REF!</f>
        <v>#REF!</v>
      </c>
    </row>
    <row r="35" spans="1:12" x14ac:dyDescent="0.25">
      <c r="A35" s="1"/>
      <c r="B35" s="204" t="s">
        <v>42</v>
      </c>
      <c r="C35" s="3"/>
      <c r="D35" s="311">
        <v>5328.49</v>
      </c>
      <c r="E35" s="311">
        <v>4821</v>
      </c>
      <c r="F35" s="311">
        <v>5165.16</v>
      </c>
      <c r="H35" s="360">
        <f t="shared" si="3"/>
        <v>507.48999999999978</v>
      </c>
      <c r="I35" s="363">
        <f t="shared" si="4"/>
        <v>0.10526654221115947</v>
      </c>
      <c r="K35" s="360" t="e">
        <f>#REF!-#REF!</f>
        <v>#REF!</v>
      </c>
      <c r="L35" s="363" t="e">
        <f>+K35/#REF!</f>
        <v>#REF!</v>
      </c>
    </row>
    <row r="36" spans="1:12" x14ac:dyDescent="0.25">
      <c r="A36" s="1"/>
      <c r="B36" s="204" t="s">
        <v>43</v>
      </c>
      <c r="C36" s="3"/>
      <c r="D36" s="311">
        <v>15063.989999999998</v>
      </c>
      <c r="E36" s="311">
        <v>16038</v>
      </c>
      <c r="F36" s="311">
        <v>16775.27</v>
      </c>
      <c r="H36" s="360">
        <f t="shared" si="3"/>
        <v>-974.01000000000204</v>
      </c>
      <c r="I36" s="363">
        <f t="shared" si="4"/>
        <v>-6.07313879536103E-2</v>
      </c>
      <c r="K36" s="360" t="e">
        <f>#REF!-#REF!</f>
        <v>#REF!</v>
      </c>
      <c r="L36" s="363" t="e">
        <f>+K36/#REF!</f>
        <v>#REF!</v>
      </c>
    </row>
    <row r="37" spans="1:12" x14ac:dyDescent="0.25">
      <c r="A37" s="1"/>
      <c r="B37" s="204" t="s">
        <v>44</v>
      </c>
      <c r="C37" s="3"/>
      <c r="D37" s="311">
        <v>3966.5</v>
      </c>
      <c r="E37" s="311">
        <v>4500</v>
      </c>
      <c r="F37" s="311">
        <v>5400</v>
      </c>
      <c r="H37" s="360">
        <f t="shared" si="3"/>
        <v>-533.5</v>
      </c>
      <c r="I37" s="363">
        <f t="shared" si="4"/>
        <v>-0.11855555555555555</v>
      </c>
      <c r="K37" s="360" t="e">
        <f>#REF!-#REF!</f>
        <v>#REF!</v>
      </c>
      <c r="L37" s="363" t="e">
        <f>+K37/#REF!</f>
        <v>#REF!</v>
      </c>
    </row>
    <row r="38" spans="1:12" x14ac:dyDescent="0.25">
      <c r="A38" s="1"/>
      <c r="B38" s="204" t="s">
        <v>45</v>
      </c>
      <c r="C38" s="3"/>
      <c r="D38" s="311">
        <v>-1061.92</v>
      </c>
      <c r="E38" s="311">
        <v>105</v>
      </c>
      <c r="F38" s="311">
        <v>536.14</v>
      </c>
      <c r="H38" s="360">
        <f t="shared" si="3"/>
        <v>-1166.92</v>
      </c>
      <c r="I38" s="363">
        <f t="shared" si="4"/>
        <v>-11.11352380952381</v>
      </c>
      <c r="K38" s="360" t="e">
        <f>#REF!-#REF!</f>
        <v>#REF!</v>
      </c>
      <c r="L38" s="363" t="e">
        <f>+K38/#REF!</f>
        <v>#REF!</v>
      </c>
    </row>
    <row r="39" spans="1:12" x14ac:dyDescent="0.25">
      <c r="A39" s="1"/>
      <c r="B39" s="204" t="s">
        <v>46</v>
      </c>
      <c r="C39" s="3"/>
      <c r="D39" s="311">
        <v>2198.16</v>
      </c>
      <c r="E39" s="311">
        <v>2199</v>
      </c>
      <c r="F39" s="311">
        <v>1908.48</v>
      </c>
      <c r="H39" s="360">
        <f t="shared" si="3"/>
        <v>-0.84000000000014552</v>
      </c>
      <c r="I39" s="363"/>
      <c r="K39" s="360" t="e">
        <f>#REF!-#REF!</f>
        <v>#REF!</v>
      </c>
      <c r="L39" s="363"/>
    </row>
    <row r="40" spans="1:12" ht="15.75" thickBot="1" x14ac:dyDescent="0.3">
      <c r="A40" s="1"/>
      <c r="B40" s="205" t="s">
        <v>47</v>
      </c>
      <c r="C40" s="3"/>
      <c r="D40" s="312"/>
      <c r="E40" s="312">
        <v>1290</v>
      </c>
      <c r="F40" s="312">
        <v>0</v>
      </c>
      <c r="H40" s="360">
        <f t="shared" si="3"/>
        <v>-1290</v>
      </c>
      <c r="I40" s="364"/>
      <c r="K40" s="361" t="e">
        <f>#REF!-#REF!</f>
        <v>#REF!</v>
      </c>
      <c r="L40" s="364" t="e">
        <f>+K40/#REF!</f>
        <v>#REF!</v>
      </c>
    </row>
    <row r="41" spans="1:12" ht="15.75" thickBot="1" x14ac:dyDescent="0.3">
      <c r="A41" s="1"/>
      <c r="B41" s="210" t="s">
        <v>16</v>
      </c>
      <c r="C41" s="29"/>
      <c r="D41" s="330">
        <f>SUM(D31:D40)</f>
        <v>886156.05999999994</v>
      </c>
      <c r="E41" s="319">
        <f>SUM(E31:E40)</f>
        <v>853088.57000000007</v>
      </c>
      <c r="F41" s="319">
        <f>SUM(F31:F40)</f>
        <v>825711.92</v>
      </c>
      <c r="H41" s="362">
        <f t="shared" si="3"/>
        <v>33067.489999999874</v>
      </c>
      <c r="I41" s="365">
        <f t="shared" si="4"/>
        <v>3.8762083050766782E-2</v>
      </c>
      <c r="K41" s="362" t="e">
        <f>#REF!-#REF!</f>
        <v>#REF!</v>
      </c>
      <c r="L41" s="365" t="e">
        <f>+K41/#REF!</f>
        <v>#REF!</v>
      </c>
    </row>
    <row r="42" spans="1:12" ht="15.75" thickBot="1" x14ac:dyDescent="0.3">
      <c r="A42" s="1"/>
      <c r="B42" s="48"/>
      <c r="C42" s="49"/>
      <c r="D42" s="232"/>
      <c r="E42" s="76"/>
      <c r="F42" s="76"/>
      <c r="H42" s="76"/>
      <c r="I42" s="232"/>
      <c r="K42" s="76"/>
      <c r="L42" s="232"/>
    </row>
    <row r="43" spans="1:12" ht="15.75" thickBot="1" x14ac:dyDescent="0.3">
      <c r="A43" s="1"/>
      <c r="B43" s="208" t="s">
        <v>48</v>
      </c>
      <c r="C43" s="4"/>
      <c r="D43" s="9"/>
      <c r="E43" s="9"/>
      <c r="F43" s="9"/>
      <c r="H43" s="9"/>
      <c r="I43" s="357"/>
      <c r="K43" s="9"/>
      <c r="L43" s="357"/>
    </row>
    <row r="44" spans="1:12" x14ac:dyDescent="0.25">
      <c r="A44" s="1"/>
      <c r="B44" s="211" t="s">
        <v>49</v>
      </c>
      <c r="C44" s="3"/>
      <c r="D44" s="317">
        <v>60086.950000000004</v>
      </c>
      <c r="E44" s="317">
        <v>50169.239999999991</v>
      </c>
      <c r="F44" s="317">
        <v>63936.060000000005</v>
      </c>
      <c r="H44" s="236">
        <f t="shared" ref="H44:H51" si="5">D44-E44</f>
        <v>9917.7100000000137</v>
      </c>
      <c r="I44" s="366">
        <f t="shared" ref="I44:I51" si="6">+H44/E44</f>
        <v>0.1976850755562575</v>
      </c>
      <c r="K44" s="236" t="e">
        <f>#REF!-#REF!</f>
        <v>#REF!</v>
      </c>
      <c r="L44" s="366" t="e">
        <f>+K44/#REF!</f>
        <v>#REF!</v>
      </c>
    </row>
    <row r="45" spans="1:12" x14ac:dyDescent="0.25">
      <c r="A45" s="1"/>
      <c r="B45" s="204" t="s">
        <v>50</v>
      </c>
      <c r="C45" s="3"/>
      <c r="D45" s="311">
        <v>4867.83</v>
      </c>
      <c r="E45" s="311">
        <v>5518.616399999999</v>
      </c>
      <c r="F45" s="311">
        <v>7652.64</v>
      </c>
      <c r="H45" s="237">
        <f t="shared" si="5"/>
        <v>-650.78639999999905</v>
      </c>
      <c r="I45" s="347">
        <f t="shared" si="6"/>
        <v>-0.11792564527587009</v>
      </c>
      <c r="K45" s="237" t="e">
        <f>#REF!-#REF!</f>
        <v>#REF!</v>
      </c>
      <c r="L45" s="347" t="e">
        <f>+K45/#REF!</f>
        <v>#REF!</v>
      </c>
    </row>
    <row r="46" spans="1:12" x14ac:dyDescent="0.25">
      <c r="A46" s="1"/>
      <c r="B46" s="204" t="s">
        <v>51</v>
      </c>
      <c r="C46" s="3"/>
      <c r="D46" s="311">
        <v>3968.63</v>
      </c>
      <c r="E46" s="311">
        <v>5436</v>
      </c>
      <c r="F46" s="311">
        <v>7494.1900000000005</v>
      </c>
      <c r="H46" s="237">
        <f t="shared" si="5"/>
        <v>-1467.37</v>
      </c>
      <c r="I46" s="347">
        <f t="shared" si="6"/>
        <v>-0.26993561442236935</v>
      </c>
      <c r="K46" s="237" t="e">
        <f>#REF!-#REF!</f>
        <v>#REF!</v>
      </c>
      <c r="L46" s="347" t="e">
        <f>+K46/#REF!</f>
        <v>#REF!</v>
      </c>
    </row>
    <row r="47" spans="1:12" x14ac:dyDescent="0.25">
      <c r="A47" s="1"/>
      <c r="B47" s="204" t="s">
        <v>52</v>
      </c>
      <c r="C47" s="3"/>
      <c r="D47" s="311">
        <v>0</v>
      </c>
      <c r="E47" s="311">
        <v>0</v>
      </c>
      <c r="F47" s="311"/>
      <c r="H47" s="237"/>
      <c r="I47" s="347"/>
      <c r="K47" s="237" t="e">
        <f>#REF!-#REF!</f>
        <v>#REF!</v>
      </c>
      <c r="L47" s="347"/>
    </row>
    <row r="48" spans="1:12" x14ac:dyDescent="0.25">
      <c r="A48" s="1"/>
      <c r="B48" s="204" t="s">
        <v>53</v>
      </c>
      <c r="C48" s="3"/>
      <c r="D48" s="311"/>
      <c r="E48" s="311"/>
      <c r="F48" s="311"/>
      <c r="H48" s="237"/>
      <c r="I48" s="347"/>
      <c r="K48" s="237" t="e">
        <f>#REF!-#REF!</f>
        <v>#REF!</v>
      </c>
      <c r="L48" s="347"/>
    </row>
    <row r="49" spans="1:12" x14ac:dyDescent="0.25">
      <c r="A49" s="1"/>
      <c r="B49" s="204" t="s">
        <v>54</v>
      </c>
      <c r="C49" s="3"/>
      <c r="D49" s="311">
        <v>8487.44</v>
      </c>
      <c r="E49" s="311">
        <v>5618.9548799999993</v>
      </c>
      <c r="F49" s="311">
        <v>7666.619999999999</v>
      </c>
      <c r="H49" s="237">
        <f t="shared" si="5"/>
        <v>2868.4851200000012</v>
      </c>
      <c r="I49" s="347">
        <f t="shared" si="6"/>
        <v>0.51050154010135096</v>
      </c>
      <c r="K49" s="237" t="e">
        <f>#REF!-#REF!</f>
        <v>#REF!</v>
      </c>
      <c r="L49" s="347" t="e">
        <f>+K49/#REF!</f>
        <v>#REF!</v>
      </c>
    </row>
    <row r="50" spans="1:12" x14ac:dyDescent="0.25">
      <c r="A50" s="1"/>
      <c r="B50" s="205"/>
      <c r="C50" s="3"/>
      <c r="D50" s="314"/>
      <c r="E50" s="314"/>
      <c r="F50" s="314"/>
      <c r="H50" s="246"/>
      <c r="I50" s="349"/>
      <c r="K50" s="246" t="e">
        <f>#REF!-#REF!</f>
        <v>#REF!</v>
      </c>
      <c r="L50" s="349"/>
    </row>
    <row r="51" spans="1:12" ht="15.75" thickBot="1" x14ac:dyDescent="0.3">
      <c r="A51" s="1"/>
      <c r="B51" s="210" t="s">
        <v>55</v>
      </c>
      <c r="C51" s="4"/>
      <c r="D51" s="319">
        <f>SUM(D44:D49)</f>
        <v>77410.850000000006</v>
      </c>
      <c r="E51" s="319">
        <f>SUM(E44:E49)</f>
        <v>66742.811279999994</v>
      </c>
      <c r="F51" s="319">
        <f>SUM(F44:F49)</f>
        <v>86749.510000000009</v>
      </c>
      <c r="H51" s="241">
        <f t="shared" si="5"/>
        <v>10668.038720000011</v>
      </c>
      <c r="I51" s="353">
        <f t="shared" si="6"/>
        <v>0.1598380187380086</v>
      </c>
      <c r="K51" s="241" t="e">
        <f>#REF!-#REF!</f>
        <v>#REF!</v>
      </c>
      <c r="L51" s="353" t="e">
        <f>+K51/#REF!</f>
        <v>#REF!</v>
      </c>
    </row>
    <row r="52" spans="1:12" ht="15.75" thickBot="1" x14ac:dyDescent="0.3">
      <c r="A52" s="1"/>
      <c r="B52" s="48"/>
      <c r="C52" s="49"/>
      <c r="D52" s="232"/>
      <c r="E52" s="76"/>
      <c r="F52" s="76"/>
      <c r="H52" s="76"/>
      <c r="I52" s="232"/>
      <c r="K52" s="76"/>
      <c r="L52" s="232"/>
    </row>
    <row r="53" spans="1:12" ht="15.75" thickBot="1" x14ac:dyDescent="0.3">
      <c r="A53" s="1"/>
      <c r="B53" s="208" t="s">
        <v>56</v>
      </c>
      <c r="C53" s="4"/>
      <c r="D53" s="9"/>
      <c r="E53" s="9"/>
      <c r="F53" s="9"/>
      <c r="H53" s="9"/>
      <c r="I53" s="357"/>
      <c r="K53" s="9"/>
      <c r="L53" s="357"/>
    </row>
    <row r="54" spans="1:12" x14ac:dyDescent="0.25">
      <c r="A54" s="1"/>
      <c r="B54" s="211" t="s">
        <v>57</v>
      </c>
      <c r="C54" s="3"/>
      <c r="D54" s="317">
        <v>465</v>
      </c>
      <c r="E54" s="317">
        <v>750</v>
      </c>
      <c r="F54" s="317">
        <v>465</v>
      </c>
      <c r="H54" s="236">
        <f t="shared" ref="H54:H65" si="7">D54-E54</f>
        <v>-285</v>
      </c>
      <c r="I54" s="366">
        <f t="shared" ref="I54:I65" si="8">+H54/E54</f>
        <v>-0.38</v>
      </c>
      <c r="K54" s="236" t="e">
        <f>#REF!-#REF!</f>
        <v>#REF!</v>
      </c>
      <c r="L54" s="366" t="e">
        <f>+K54/#REF!</f>
        <v>#REF!</v>
      </c>
    </row>
    <row r="55" spans="1:12" x14ac:dyDescent="0.25">
      <c r="A55" s="1"/>
      <c r="B55" s="204" t="s">
        <v>58</v>
      </c>
      <c r="C55" s="3"/>
      <c r="D55" s="311">
        <v>1887.67</v>
      </c>
      <c r="E55" s="311">
        <v>6617.8499999999995</v>
      </c>
      <c r="F55" s="311">
        <v>6707</v>
      </c>
      <c r="H55" s="237">
        <f t="shared" si="7"/>
        <v>-4730.1799999999994</v>
      </c>
      <c r="I55" s="347">
        <f t="shared" si="8"/>
        <v>-0.71476083622324471</v>
      </c>
      <c r="K55" s="237" t="e">
        <f>#REF!-#REF!</f>
        <v>#REF!</v>
      </c>
      <c r="L55" s="347" t="e">
        <f>+K55/#REF!</f>
        <v>#REF!</v>
      </c>
    </row>
    <row r="56" spans="1:12" x14ac:dyDescent="0.25">
      <c r="A56" s="1"/>
      <c r="B56" s="204" t="s">
        <v>59</v>
      </c>
      <c r="C56" s="3"/>
      <c r="D56" s="311">
        <v>19701.43</v>
      </c>
      <c r="E56" s="311">
        <v>17733</v>
      </c>
      <c r="F56" s="311">
        <v>10260.86</v>
      </c>
      <c r="H56" s="237">
        <f t="shared" si="7"/>
        <v>1968.4300000000003</v>
      </c>
      <c r="I56" s="347">
        <f t="shared" si="8"/>
        <v>0.11100377826650878</v>
      </c>
      <c r="K56" s="237" t="e">
        <f>#REF!-#REF!</f>
        <v>#REF!</v>
      </c>
      <c r="L56" s="347" t="e">
        <f>+K56/#REF!</f>
        <v>#REF!</v>
      </c>
    </row>
    <row r="57" spans="1:12" x14ac:dyDescent="0.25">
      <c r="A57" s="1"/>
      <c r="B57" s="204" t="s">
        <v>60</v>
      </c>
      <c r="C57" s="3"/>
      <c r="D57" s="311">
        <v>0</v>
      </c>
      <c r="E57" s="311"/>
      <c r="F57" s="311"/>
      <c r="H57" s="237"/>
      <c r="I57" s="347"/>
      <c r="K57" s="237" t="e">
        <f>#REF!-#REF!</f>
        <v>#REF!</v>
      </c>
      <c r="L57" s="347"/>
    </row>
    <row r="58" spans="1:12" x14ac:dyDescent="0.25">
      <c r="A58" s="1"/>
      <c r="B58" s="204" t="s">
        <v>61</v>
      </c>
      <c r="C58" s="3"/>
      <c r="D58" s="311">
        <v>312.88</v>
      </c>
      <c r="E58" s="321">
        <v>138</v>
      </c>
      <c r="F58" s="321"/>
      <c r="H58" s="237">
        <f t="shared" si="7"/>
        <v>174.88</v>
      </c>
      <c r="I58" s="347">
        <f t="shared" si="8"/>
        <v>1.2672463768115942</v>
      </c>
      <c r="K58" s="237" t="e">
        <f>#REF!-#REF!</f>
        <v>#REF!</v>
      </c>
      <c r="L58" s="347" t="e">
        <f>+K58/#REF!</f>
        <v>#REF!</v>
      </c>
    </row>
    <row r="59" spans="1:12" x14ac:dyDescent="0.25">
      <c r="A59" s="1"/>
      <c r="B59" s="204" t="s">
        <v>62</v>
      </c>
      <c r="C59" s="3"/>
      <c r="D59" s="321">
        <v>2530.33</v>
      </c>
      <c r="E59" s="321">
        <v>3009</v>
      </c>
      <c r="F59" s="321">
        <v>8076</v>
      </c>
      <c r="H59" s="237">
        <f t="shared" si="7"/>
        <v>-478.67000000000007</v>
      </c>
      <c r="I59" s="347">
        <f t="shared" si="8"/>
        <v>-0.15907942838152211</v>
      </c>
      <c r="K59" s="237" t="e">
        <f>#REF!-#REF!</f>
        <v>#REF!</v>
      </c>
      <c r="L59" s="347" t="e">
        <f>+K59/#REF!</f>
        <v>#REF!</v>
      </c>
    </row>
    <row r="60" spans="1:12" x14ac:dyDescent="0.25">
      <c r="A60" s="1"/>
      <c r="B60" s="204" t="s">
        <v>63</v>
      </c>
      <c r="C60" s="3"/>
      <c r="D60" s="321">
        <v>14399.58</v>
      </c>
      <c r="E60" s="321">
        <v>12978</v>
      </c>
      <c r="F60" s="321">
        <v>12978</v>
      </c>
      <c r="H60" s="237">
        <f t="shared" si="7"/>
        <v>1421.58</v>
      </c>
      <c r="I60" s="347">
        <f t="shared" si="8"/>
        <v>0.10953767914932963</v>
      </c>
      <c r="K60" s="237" t="e">
        <f>#REF!-#REF!</f>
        <v>#REF!</v>
      </c>
      <c r="L60" s="347" t="e">
        <f>+K60/#REF!</f>
        <v>#REF!</v>
      </c>
    </row>
    <row r="61" spans="1:12" x14ac:dyDescent="0.25">
      <c r="A61" s="1"/>
      <c r="B61" s="204" t="s">
        <v>25</v>
      </c>
      <c r="C61" s="3"/>
      <c r="D61" s="321">
        <v>188805.18</v>
      </c>
      <c r="E61" s="321">
        <v>188805.18000000002</v>
      </c>
      <c r="F61" s="321">
        <v>183306</v>
      </c>
      <c r="H61" s="237">
        <f t="shared" si="7"/>
        <v>0</v>
      </c>
      <c r="I61" s="347">
        <f t="shared" si="8"/>
        <v>0</v>
      </c>
      <c r="K61" s="237" t="e">
        <f>#REF!-#REF!</f>
        <v>#REF!</v>
      </c>
      <c r="L61" s="347" t="e">
        <f>+K61/#REF!</f>
        <v>#REF!</v>
      </c>
    </row>
    <row r="62" spans="1:12" x14ac:dyDescent="0.25">
      <c r="A62" s="1"/>
      <c r="B62" s="204" t="s">
        <v>64</v>
      </c>
      <c r="C62" s="3"/>
      <c r="D62" s="321">
        <v>-4889.2700000000004</v>
      </c>
      <c r="E62" s="321">
        <v>3345</v>
      </c>
      <c r="F62" s="321">
        <v>2755</v>
      </c>
      <c r="H62" s="237">
        <f t="shared" si="7"/>
        <v>-8234.27</v>
      </c>
      <c r="I62" s="347">
        <f t="shared" si="8"/>
        <v>-2.461665171898356</v>
      </c>
      <c r="K62" s="237" t="e">
        <f>#REF!-#REF!</f>
        <v>#REF!</v>
      </c>
      <c r="L62" s="347" t="e">
        <f>+K62/#REF!</f>
        <v>#REF!</v>
      </c>
    </row>
    <row r="63" spans="1:12" x14ac:dyDescent="0.25">
      <c r="A63" s="1"/>
      <c r="B63" s="204" t="s">
        <v>65</v>
      </c>
      <c r="C63" s="3"/>
      <c r="D63" s="321">
        <v>0</v>
      </c>
      <c r="E63" s="321">
        <v>0</v>
      </c>
      <c r="F63" s="321"/>
      <c r="H63" s="237"/>
      <c r="I63" s="347"/>
      <c r="K63" s="237" t="e">
        <f>#REF!-#REF!</f>
        <v>#REF!</v>
      </c>
      <c r="L63" s="347"/>
    </row>
    <row r="64" spans="1:12" x14ac:dyDescent="0.25">
      <c r="A64" s="1"/>
      <c r="B64" s="205" t="s">
        <v>66</v>
      </c>
      <c r="C64" s="3"/>
      <c r="D64" s="415">
        <v>1400.01</v>
      </c>
      <c r="E64" s="314">
        <v>1401</v>
      </c>
      <c r="F64" s="314">
        <v>1400.01</v>
      </c>
      <c r="H64" s="246">
        <f t="shared" si="7"/>
        <v>-0.99000000000000909</v>
      </c>
      <c r="I64" s="349">
        <f t="shared" si="8"/>
        <v>-7.0663811563169811E-4</v>
      </c>
      <c r="K64" s="246" t="e">
        <f>#REF!-#REF!</f>
        <v>#REF!</v>
      </c>
      <c r="L64" s="349" t="e">
        <f>+K64/#REF!</f>
        <v>#REF!</v>
      </c>
    </row>
    <row r="65" spans="1:12" ht="15.75" thickBot="1" x14ac:dyDescent="0.3">
      <c r="A65" s="1"/>
      <c r="B65" s="210" t="s">
        <v>67</v>
      </c>
      <c r="C65" s="4"/>
      <c r="D65" s="319">
        <f>SUM(D54:D64)</f>
        <v>224612.81000000003</v>
      </c>
      <c r="E65" s="319">
        <f>SUM(E54:E64)</f>
        <v>234777.03000000003</v>
      </c>
      <c r="F65" s="319">
        <f>SUM(F54:F64)</f>
        <v>225947.87</v>
      </c>
      <c r="H65" s="242">
        <f t="shared" si="7"/>
        <v>-10164.220000000001</v>
      </c>
      <c r="I65" s="353">
        <f t="shared" si="8"/>
        <v>-4.3293076839757277E-2</v>
      </c>
      <c r="K65" s="242" t="e">
        <f>#REF!-#REF!</f>
        <v>#REF!</v>
      </c>
      <c r="L65" s="353" t="e">
        <f>+K65/#REF!</f>
        <v>#REF!</v>
      </c>
    </row>
    <row r="66" spans="1:12" ht="15.75" thickBot="1" x14ac:dyDescent="0.3">
      <c r="A66" s="1"/>
      <c r="B66" s="48"/>
      <c r="C66" s="49"/>
      <c r="D66" s="232"/>
      <c r="E66" s="57"/>
      <c r="F66" s="57"/>
      <c r="H66" s="57"/>
      <c r="I66" s="232"/>
      <c r="K66" s="57"/>
      <c r="L66" s="232"/>
    </row>
    <row r="67" spans="1:12" ht="15.75" thickBot="1" x14ac:dyDescent="0.3">
      <c r="A67" s="1"/>
      <c r="B67" s="208" t="s">
        <v>68</v>
      </c>
      <c r="C67" s="4"/>
      <c r="D67" s="120"/>
      <c r="E67" s="120"/>
      <c r="F67" s="120"/>
      <c r="H67" s="120"/>
      <c r="I67" s="357"/>
      <c r="K67" s="120"/>
      <c r="L67" s="357"/>
    </row>
    <row r="68" spans="1:12" ht="15.75" thickBot="1" x14ac:dyDescent="0.3">
      <c r="A68" s="1"/>
      <c r="B68" s="220" t="s">
        <v>69</v>
      </c>
      <c r="C68" s="29"/>
      <c r="D68" s="419">
        <f>D41-D51-D65</f>
        <v>584132.39999999991</v>
      </c>
      <c r="E68" s="419">
        <f>E41-E51-E65</f>
        <v>551568.72872000001</v>
      </c>
      <c r="F68" s="419">
        <f>F41-F51-F65</f>
        <v>513014.54000000004</v>
      </c>
      <c r="H68" s="243">
        <f t="shared" ref="H68" si="9">D68-E68</f>
        <v>32563.671279999893</v>
      </c>
      <c r="I68" s="368">
        <f t="shared" ref="I68" si="10">+H68/E68</f>
        <v>5.9038284051325565E-2</v>
      </c>
      <c r="K68" s="243" t="e">
        <f>#REF!-#REF!</f>
        <v>#REF!</v>
      </c>
      <c r="L68" s="368" t="e">
        <f>+K68/#REF!</f>
        <v>#REF!</v>
      </c>
    </row>
    <row r="69" spans="1:12" x14ac:dyDescent="0.25">
      <c r="A69" s="1"/>
      <c r="B69" s="2"/>
      <c r="C69" s="4"/>
      <c r="D69" s="233"/>
      <c r="E69" s="100"/>
      <c r="F69" s="100"/>
      <c r="H69" s="100"/>
      <c r="I69" s="233"/>
      <c r="K69" s="100"/>
      <c r="L69" s="233"/>
    </row>
    <row r="70" spans="1:12" ht="15.75" thickBot="1" x14ac:dyDescent="0.3">
      <c r="A70" s="1"/>
      <c r="B70" s="48"/>
      <c r="C70" s="49"/>
      <c r="D70" s="76"/>
      <c r="E70" s="76"/>
      <c r="F70" s="76"/>
      <c r="H70" s="76"/>
      <c r="I70" s="232"/>
      <c r="K70" s="76"/>
      <c r="L70" s="232"/>
    </row>
    <row r="71" spans="1:12" ht="15.75" thickBot="1" x14ac:dyDescent="0.3">
      <c r="A71" s="1"/>
      <c r="B71" s="208" t="s">
        <v>70</v>
      </c>
      <c r="C71" s="4"/>
      <c r="D71" s="101"/>
      <c r="E71" s="101"/>
      <c r="F71" s="101"/>
      <c r="H71" s="101"/>
      <c r="I71" s="358"/>
      <c r="K71" s="101"/>
      <c r="L71" s="358"/>
    </row>
    <row r="72" spans="1:12" ht="15.75" thickBot="1" x14ac:dyDescent="0.3">
      <c r="A72" s="1"/>
      <c r="B72" s="48"/>
      <c r="C72" s="49"/>
      <c r="D72" s="103"/>
      <c r="E72" s="103"/>
      <c r="F72" s="103"/>
      <c r="H72" s="103"/>
      <c r="I72" s="356"/>
      <c r="K72" s="103"/>
      <c r="L72" s="356"/>
    </row>
    <row r="73" spans="1:12" ht="15.75" thickBot="1" x14ac:dyDescent="0.3">
      <c r="A73" s="1"/>
      <c r="B73" s="208" t="s">
        <v>48</v>
      </c>
      <c r="C73" s="4"/>
      <c r="D73" s="224" t="str">
        <f t="shared" ref="D73" si="11">D3</f>
        <v>ACTUAL 2024 - Q1</v>
      </c>
      <c r="E73" s="416" t="str">
        <f>E3</f>
        <v>BUDGET 2024 - Q1</v>
      </c>
      <c r="F73" s="416" t="str">
        <f>F3</f>
        <v>ACTUAL 2023 - Q1</v>
      </c>
      <c r="H73" s="235" t="str">
        <f>+H$3</f>
        <v>B 2024 vs Q1 2024</v>
      </c>
      <c r="I73" s="372" t="str">
        <f>+I$3</f>
        <v>%</v>
      </c>
      <c r="K73" s="235" t="str">
        <f>+K$3</f>
        <v>Act 2021 vs Bud 2021</v>
      </c>
      <c r="L73" s="372" t="str">
        <f>+L$3</f>
        <v>%</v>
      </c>
    </row>
    <row r="74" spans="1:12" x14ac:dyDescent="0.25">
      <c r="A74" s="1"/>
      <c r="B74" s="204" t="s">
        <v>18</v>
      </c>
      <c r="C74" s="3"/>
      <c r="D74" s="420">
        <v>59352.679999999993</v>
      </c>
      <c r="E74" s="311">
        <v>64423.995040000009</v>
      </c>
      <c r="F74" s="317">
        <v>50621.849999999991</v>
      </c>
      <c r="H74" s="237">
        <f t="shared" ref="H74:H83" si="12">D74-E74</f>
        <v>-5071.3150400000159</v>
      </c>
      <c r="I74" s="347">
        <f t="shared" ref="I74:I81" si="13">+H74/E74</f>
        <v>-7.8717798187636509E-2</v>
      </c>
      <c r="K74" s="237" t="e">
        <f>#REF!-#REF!</f>
        <v>#REF!</v>
      </c>
      <c r="L74" s="347" t="e">
        <f>+K74/#REF!</f>
        <v>#REF!</v>
      </c>
    </row>
    <row r="75" spans="1:12" x14ac:dyDescent="0.25">
      <c r="A75" s="1"/>
      <c r="B75" s="204" t="s">
        <v>71</v>
      </c>
      <c r="C75" s="3"/>
      <c r="D75" s="420">
        <v>56396.12</v>
      </c>
      <c r="E75" s="311">
        <v>56299.704096999994</v>
      </c>
      <c r="F75" s="311">
        <v>45941.799999999996</v>
      </c>
      <c r="H75" s="237">
        <f t="shared" si="12"/>
        <v>96.415903000008257</v>
      </c>
      <c r="I75" s="347">
        <f t="shared" si="13"/>
        <v>1.7125472424134093E-3</v>
      </c>
      <c r="K75" s="237" t="e">
        <f>#REF!-#REF!</f>
        <v>#REF!</v>
      </c>
      <c r="L75" s="347" t="e">
        <f>+K75/#REF!</f>
        <v>#REF!</v>
      </c>
    </row>
    <row r="76" spans="1:12" x14ac:dyDescent="0.25">
      <c r="A76" s="1"/>
      <c r="B76" s="204" t="s">
        <v>72</v>
      </c>
      <c r="C76" s="3"/>
      <c r="D76" s="420">
        <v>2631</v>
      </c>
      <c r="E76" s="311">
        <v>2630.25</v>
      </c>
      <c r="F76" s="311">
        <v>2505</v>
      </c>
      <c r="H76" s="237">
        <f t="shared" si="12"/>
        <v>0.75</v>
      </c>
      <c r="I76" s="347">
        <f t="shared" si="13"/>
        <v>2.8514399771884804E-4</v>
      </c>
      <c r="K76" s="237" t="e">
        <f>#REF!-#REF!</f>
        <v>#REF!</v>
      </c>
      <c r="L76" s="347" t="e">
        <f>+K76/#REF!</f>
        <v>#REF!</v>
      </c>
    </row>
    <row r="77" spans="1:12" x14ac:dyDescent="0.25">
      <c r="A77" s="1"/>
      <c r="B77" s="204" t="s">
        <v>50</v>
      </c>
      <c r="C77" s="3"/>
      <c r="D77" s="420">
        <v>9537.07</v>
      </c>
      <c r="E77" s="311">
        <v>11718.625168015</v>
      </c>
      <c r="F77" s="311">
        <v>9036.9800000000014</v>
      </c>
      <c r="H77" s="237">
        <f t="shared" si="12"/>
        <v>-2181.5551680150002</v>
      </c>
      <c r="I77" s="347">
        <f t="shared" si="13"/>
        <v>-0.186161357389378</v>
      </c>
      <c r="K77" s="237" t="e">
        <f>#REF!-#REF!</f>
        <v>#REF!</v>
      </c>
      <c r="L77" s="347" t="e">
        <f>+K77/#REF!</f>
        <v>#REF!</v>
      </c>
    </row>
    <row r="78" spans="1:12" x14ac:dyDescent="0.25">
      <c r="A78" s="1"/>
      <c r="B78" s="204" t="s">
        <v>73</v>
      </c>
      <c r="C78" s="3"/>
      <c r="D78" s="420">
        <v>6383.84</v>
      </c>
      <c r="E78" s="311">
        <v>8264.7145921790016</v>
      </c>
      <c r="F78" s="311">
        <v>8013.71</v>
      </c>
      <c r="H78" s="237">
        <f t="shared" si="12"/>
        <v>-1880.8745921790014</v>
      </c>
      <c r="I78" s="347">
        <f t="shared" si="13"/>
        <v>-0.22757889231394579</v>
      </c>
      <c r="K78" s="237" t="e">
        <f>#REF!-#REF!</f>
        <v>#REF!</v>
      </c>
      <c r="L78" s="347" t="e">
        <f>+K78/#REF!</f>
        <v>#REF!</v>
      </c>
    </row>
    <row r="79" spans="1:12" x14ac:dyDescent="0.25">
      <c r="A79" s="1"/>
      <c r="B79" s="204" t="s">
        <v>52</v>
      </c>
      <c r="C79" s="3"/>
      <c r="D79" s="420">
        <v>1730</v>
      </c>
      <c r="E79" s="311">
        <v>2697</v>
      </c>
      <c r="F79" s="311">
        <v>2135</v>
      </c>
      <c r="H79" s="237">
        <f t="shared" si="12"/>
        <v>-967</v>
      </c>
      <c r="I79" s="347">
        <f t="shared" si="13"/>
        <v>-0.35854653318502039</v>
      </c>
      <c r="K79" s="237" t="e">
        <f>#REF!-#REF!</f>
        <v>#REF!</v>
      </c>
      <c r="L79" s="347" t="e">
        <f>+K79/#REF!</f>
        <v>#REF!</v>
      </c>
    </row>
    <row r="80" spans="1:12" x14ac:dyDescent="0.25">
      <c r="A80" s="1"/>
      <c r="B80" s="204" t="s">
        <v>53</v>
      </c>
      <c r="C80" s="3"/>
      <c r="D80" s="420">
        <v>15285.579999999998</v>
      </c>
      <c r="E80" s="311">
        <v>11929.2</v>
      </c>
      <c r="F80" s="311">
        <v>9401.11</v>
      </c>
      <c r="H80" s="237">
        <f t="shared" si="12"/>
        <v>3356.3799999999974</v>
      </c>
      <c r="I80" s="347">
        <f t="shared" si="13"/>
        <v>0.28135834758407918</v>
      </c>
      <c r="K80" s="237" t="e">
        <f>#REF!-#REF!</f>
        <v>#REF!</v>
      </c>
      <c r="L80" s="347" t="e">
        <f>+K80/#REF!</f>
        <v>#REF!</v>
      </c>
    </row>
    <row r="81" spans="1:12" x14ac:dyDescent="0.25">
      <c r="A81" s="1"/>
      <c r="B81" s="204" t="s">
        <v>54</v>
      </c>
      <c r="C81" s="3"/>
      <c r="D81" s="420">
        <v>11141.699999999999</v>
      </c>
      <c r="E81" s="311">
        <v>13815.642303344001</v>
      </c>
      <c r="F81" s="311">
        <v>9247.18</v>
      </c>
      <c r="H81" s="237">
        <f t="shared" si="12"/>
        <v>-2673.9423033440016</v>
      </c>
      <c r="I81" s="347">
        <f t="shared" si="13"/>
        <v>-0.19354455222807762</v>
      </c>
      <c r="K81" s="237" t="e">
        <f>#REF!-#REF!</f>
        <v>#REF!</v>
      </c>
      <c r="L81" s="347" t="e">
        <f>+K81/#REF!</f>
        <v>#REF!</v>
      </c>
    </row>
    <row r="82" spans="1:12" x14ac:dyDescent="0.25">
      <c r="A82" s="1"/>
      <c r="B82" s="205"/>
      <c r="C82" s="3"/>
      <c r="D82" s="421"/>
      <c r="E82" s="314"/>
      <c r="F82" s="314"/>
      <c r="H82" s="246"/>
      <c r="I82" s="349"/>
      <c r="K82" s="246" t="e">
        <f>#REF!-#REF!</f>
        <v>#REF!</v>
      </c>
      <c r="L82" s="349"/>
    </row>
    <row r="83" spans="1:12" ht="15.75" thickBot="1" x14ac:dyDescent="0.3">
      <c r="A83" s="1"/>
      <c r="B83" s="210" t="s">
        <v>55</v>
      </c>
      <c r="C83" s="4"/>
      <c r="D83" s="215">
        <f>SUM(D74:D82)</f>
        <v>162457.99</v>
      </c>
      <c r="E83" s="319">
        <f>SUM(E74:E82)</f>
        <v>171779.13120053802</v>
      </c>
      <c r="F83" s="319">
        <f>SUM(F74:F82)</f>
        <v>136902.63</v>
      </c>
      <c r="H83" s="241">
        <f t="shared" si="12"/>
        <v>-9321.1412005380262</v>
      </c>
      <c r="I83" s="353">
        <f>+H83/E83</f>
        <v>-5.4262360831574818E-2</v>
      </c>
      <c r="K83" s="241" t="e">
        <f>#REF!-#REF!</f>
        <v>#REF!</v>
      </c>
      <c r="L83" s="353" t="e">
        <f>+K83/#REF!</f>
        <v>#REF!</v>
      </c>
    </row>
    <row r="84" spans="1:12" ht="15.75" thickBot="1" x14ac:dyDescent="0.3">
      <c r="A84" s="1"/>
      <c r="B84" s="48"/>
      <c r="C84" s="49"/>
      <c r="D84" s="232"/>
      <c r="E84" s="76"/>
      <c r="F84" s="76"/>
      <c r="H84" s="76"/>
      <c r="I84" s="232"/>
      <c r="K84" s="76"/>
      <c r="L84" s="232"/>
    </row>
    <row r="85" spans="1:12" ht="15.75" thickBot="1" x14ac:dyDescent="0.3">
      <c r="A85" s="1"/>
      <c r="B85" s="208" t="s">
        <v>56</v>
      </c>
      <c r="C85" s="4"/>
      <c r="D85" s="9"/>
      <c r="E85" s="9"/>
      <c r="F85" s="9"/>
      <c r="H85" s="9"/>
      <c r="I85" s="357"/>
      <c r="K85" s="9"/>
      <c r="L85" s="357"/>
    </row>
    <row r="86" spans="1:12" x14ac:dyDescent="0.25">
      <c r="A86" s="1"/>
      <c r="B86" s="211" t="s">
        <v>74</v>
      </c>
      <c r="C86" s="3"/>
      <c r="D86" s="317">
        <v>2329.98</v>
      </c>
      <c r="E86" s="317">
        <v>3300</v>
      </c>
      <c r="F86" s="317">
        <v>4982.1799999999994</v>
      </c>
      <c r="H86" s="236">
        <f t="shared" ref="H86:H103" si="14">D86-E86</f>
        <v>-970.02</v>
      </c>
      <c r="I86" s="366">
        <f t="shared" ref="I86:I103" si="15">+H86/E86</f>
        <v>-0.29394545454545457</v>
      </c>
      <c r="K86" s="236" t="e">
        <f>#REF!-#REF!</f>
        <v>#REF!</v>
      </c>
      <c r="L86" s="366" t="e">
        <f>+K86/#REF!</f>
        <v>#REF!</v>
      </c>
    </row>
    <row r="87" spans="1:12" x14ac:dyDescent="0.25">
      <c r="A87" s="1"/>
      <c r="B87" s="204" t="s">
        <v>75</v>
      </c>
      <c r="C87" s="3"/>
      <c r="D87" s="311">
        <v>9087.5</v>
      </c>
      <c r="E87" s="311">
        <v>5654.67</v>
      </c>
      <c r="F87" s="311">
        <v>869.3599999999999</v>
      </c>
      <c r="H87" s="237">
        <f t="shared" si="14"/>
        <v>3432.83</v>
      </c>
      <c r="I87" s="347">
        <f t="shared" si="15"/>
        <v>0.60707875083780305</v>
      </c>
      <c r="K87" s="237" t="e">
        <f>#REF!-#REF!</f>
        <v>#REF!</v>
      </c>
      <c r="L87" s="347" t="e">
        <f>+K87/#REF!</f>
        <v>#REF!</v>
      </c>
    </row>
    <row r="88" spans="1:12" x14ac:dyDescent="0.25">
      <c r="A88" s="1"/>
      <c r="B88" s="204" t="s">
        <v>76</v>
      </c>
      <c r="C88" s="3"/>
      <c r="D88" s="311">
        <v>66732.33</v>
      </c>
      <c r="E88" s="311">
        <v>55429.051500000001</v>
      </c>
      <c r="F88" s="311">
        <v>53144.14</v>
      </c>
      <c r="H88" s="237">
        <f t="shared" si="14"/>
        <v>11303.2785</v>
      </c>
      <c r="I88" s="347">
        <f t="shared" si="15"/>
        <v>0.20392336138026826</v>
      </c>
      <c r="K88" s="237" t="e">
        <f>#REF!-#REF!</f>
        <v>#REF!</v>
      </c>
      <c r="L88" s="347" t="e">
        <f>+K88/#REF!</f>
        <v>#REF!</v>
      </c>
    </row>
    <row r="89" spans="1:12" x14ac:dyDescent="0.25">
      <c r="A89" s="1"/>
      <c r="B89" s="204" t="s">
        <v>77</v>
      </c>
      <c r="C89" s="3"/>
      <c r="D89" s="311">
        <v>0</v>
      </c>
      <c r="E89" s="311">
        <v>0</v>
      </c>
      <c r="F89" s="311">
        <v>0</v>
      </c>
      <c r="H89" s="237">
        <f t="shared" si="14"/>
        <v>0</v>
      </c>
      <c r="I89" s="347">
        <v>0</v>
      </c>
      <c r="K89" s="237" t="e">
        <f>#REF!-#REF!</f>
        <v>#REF!</v>
      </c>
      <c r="L89" s="347" t="e">
        <f>+K89/#REF!</f>
        <v>#REF!</v>
      </c>
    </row>
    <row r="90" spans="1:12" x14ac:dyDescent="0.25">
      <c r="A90" s="1"/>
      <c r="B90" s="204" t="s">
        <v>78</v>
      </c>
      <c r="C90" s="3"/>
      <c r="D90" s="311">
        <v>0</v>
      </c>
      <c r="E90" s="311">
        <v>225</v>
      </c>
      <c r="F90" s="311">
        <v>0</v>
      </c>
      <c r="H90" s="237">
        <f t="shared" si="14"/>
        <v>-225</v>
      </c>
      <c r="I90" s="347">
        <f t="shared" si="15"/>
        <v>-1</v>
      </c>
      <c r="K90" s="237" t="e">
        <f>#REF!-#REF!</f>
        <v>#REF!</v>
      </c>
      <c r="L90" s="347" t="e">
        <f>+K90/#REF!</f>
        <v>#REF!</v>
      </c>
    </row>
    <row r="91" spans="1:12" x14ac:dyDescent="0.25">
      <c r="A91" s="1"/>
      <c r="B91" s="204" t="s">
        <v>79</v>
      </c>
      <c r="C91" s="3"/>
      <c r="D91" s="311">
        <v>20.79</v>
      </c>
      <c r="E91" s="311">
        <v>5001</v>
      </c>
      <c r="F91" s="311">
        <v>27.22</v>
      </c>
      <c r="H91" s="237">
        <f t="shared" si="14"/>
        <v>-4980.21</v>
      </c>
      <c r="I91" s="347">
        <f t="shared" si="15"/>
        <v>-0.99584283143371322</v>
      </c>
      <c r="K91" s="237" t="e">
        <f>#REF!-#REF!</f>
        <v>#REF!</v>
      </c>
      <c r="L91" s="347" t="e">
        <f>+K91/#REF!</f>
        <v>#REF!</v>
      </c>
    </row>
    <row r="92" spans="1:12" x14ac:dyDescent="0.25">
      <c r="A92" s="1"/>
      <c r="B92" s="204" t="s">
        <v>80</v>
      </c>
      <c r="C92" s="3"/>
      <c r="D92" s="311">
        <v>3289.01</v>
      </c>
      <c r="E92" s="311">
        <v>4125</v>
      </c>
      <c r="F92" s="311">
        <v>239</v>
      </c>
      <c r="H92" s="237">
        <f t="shared" si="14"/>
        <v>-835.98999999999978</v>
      </c>
      <c r="I92" s="347">
        <f t="shared" si="15"/>
        <v>-0.20266424242424236</v>
      </c>
      <c r="K92" s="237" t="e">
        <f>#REF!-#REF!</f>
        <v>#REF!</v>
      </c>
      <c r="L92" s="347" t="e">
        <f>+K92/#REF!</f>
        <v>#REF!</v>
      </c>
    </row>
    <row r="93" spans="1:12" x14ac:dyDescent="0.25">
      <c r="A93" s="1"/>
      <c r="B93" s="204" t="s">
        <v>81</v>
      </c>
      <c r="C93" s="3"/>
      <c r="D93" s="311">
        <v>1666.02</v>
      </c>
      <c r="E93" s="311">
        <v>3289.5</v>
      </c>
      <c r="F93" s="311">
        <v>2793.31</v>
      </c>
      <c r="H93" s="237">
        <f t="shared" si="14"/>
        <v>-1623.48</v>
      </c>
      <c r="I93" s="347">
        <f t="shared" si="15"/>
        <v>-0.49353397172822616</v>
      </c>
      <c r="K93" s="237" t="e">
        <f>#REF!-#REF!</f>
        <v>#REF!</v>
      </c>
      <c r="L93" s="347" t="e">
        <f>+K93/#REF!</f>
        <v>#REF!</v>
      </c>
    </row>
    <row r="94" spans="1:12" x14ac:dyDescent="0.25">
      <c r="A94" s="1"/>
      <c r="B94" s="204" t="s">
        <v>82</v>
      </c>
      <c r="C94" s="3"/>
      <c r="D94" s="311">
        <v>188.1</v>
      </c>
      <c r="E94" s="311">
        <v>1249.98</v>
      </c>
      <c r="F94" s="311"/>
      <c r="H94" s="237">
        <f t="shared" si="14"/>
        <v>-1061.8800000000001</v>
      </c>
      <c r="I94" s="347">
        <f t="shared" si="15"/>
        <v>-0.84951759228147661</v>
      </c>
      <c r="K94" s="237" t="e">
        <f>#REF!-#REF!</f>
        <v>#REF!</v>
      </c>
      <c r="L94" s="347" t="e">
        <f>+K94/#REF!</f>
        <v>#REF!</v>
      </c>
    </row>
    <row r="95" spans="1:12" x14ac:dyDescent="0.25">
      <c r="A95" s="1"/>
      <c r="B95" s="204" t="s">
        <v>83</v>
      </c>
      <c r="C95" s="3"/>
      <c r="D95" s="311">
        <v>0</v>
      </c>
      <c r="E95" s="311">
        <v>0</v>
      </c>
      <c r="F95" s="311">
        <v>3000</v>
      </c>
      <c r="H95" s="237"/>
      <c r="I95" s="347"/>
      <c r="K95" s="237" t="e">
        <f>#REF!-#REF!</f>
        <v>#REF!</v>
      </c>
      <c r="L95" s="347" t="e">
        <f>+K95/#REF!</f>
        <v>#REF!</v>
      </c>
    </row>
    <row r="96" spans="1:12" x14ac:dyDescent="0.25">
      <c r="A96" s="1"/>
      <c r="B96" s="204" t="s">
        <v>84</v>
      </c>
      <c r="C96" s="3"/>
      <c r="D96" s="311">
        <v>8350</v>
      </c>
      <c r="E96" s="311">
        <v>11700</v>
      </c>
      <c r="F96" s="311">
        <v>12450</v>
      </c>
      <c r="H96" s="237">
        <f t="shared" si="14"/>
        <v>-3350</v>
      </c>
      <c r="I96" s="347">
        <f t="shared" si="15"/>
        <v>-0.28632478632478631</v>
      </c>
      <c r="K96" s="237" t="e">
        <f>#REF!-#REF!</f>
        <v>#REF!</v>
      </c>
      <c r="L96" s="347" t="e">
        <f>+K96/#REF!</f>
        <v>#REF!</v>
      </c>
    </row>
    <row r="97" spans="1:12" x14ac:dyDescent="0.25">
      <c r="A97" s="1"/>
      <c r="B97" s="204" t="s">
        <v>85</v>
      </c>
      <c r="C97" s="3"/>
      <c r="D97" s="311">
        <v>9630</v>
      </c>
      <c r="E97" s="311">
        <v>9990</v>
      </c>
      <c r="F97" s="311">
        <v>9630</v>
      </c>
      <c r="H97" s="237">
        <f t="shared" si="14"/>
        <v>-360</v>
      </c>
      <c r="I97" s="347">
        <f t="shared" si="15"/>
        <v>-3.6036036036036036E-2</v>
      </c>
      <c r="K97" s="237" t="e">
        <f>#REF!-#REF!</f>
        <v>#REF!</v>
      </c>
      <c r="L97" s="347" t="e">
        <f>+K97/#REF!</f>
        <v>#REF!</v>
      </c>
    </row>
    <row r="98" spans="1:12" x14ac:dyDescent="0.25">
      <c r="A98" s="1"/>
      <c r="B98" s="204" t="s">
        <v>61</v>
      </c>
      <c r="C98" s="3"/>
      <c r="D98" s="311">
        <v>1343.96</v>
      </c>
      <c r="E98" s="311">
        <v>1101</v>
      </c>
      <c r="F98" s="311">
        <v>571.35</v>
      </c>
      <c r="H98" s="237">
        <f t="shared" si="14"/>
        <v>242.96000000000004</v>
      </c>
      <c r="I98" s="347">
        <f t="shared" si="15"/>
        <v>0.22067211625794736</v>
      </c>
      <c r="K98" s="237" t="e">
        <f>#REF!-#REF!</f>
        <v>#REF!</v>
      </c>
      <c r="L98" s="347" t="e">
        <f>+K98/#REF!</f>
        <v>#REF!</v>
      </c>
    </row>
    <row r="99" spans="1:12" x14ac:dyDescent="0.25">
      <c r="A99" s="1"/>
      <c r="B99" s="204" t="s">
        <v>86</v>
      </c>
      <c r="C99" s="3"/>
      <c r="D99" s="311">
        <v>0</v>
      </c>
      <c r="E99" s="311">
        <v>2600.6666666666665</v>
      </c>
      <c r="F99" s="311">
        <v>1712.5</v>
      </c>
      <c r="H99" s="237">
        <f t="shared" si="14"/>
        <v>-2600.6666666666665</v>
      </c>
      <c r="I99" s="347">
        <f t="shared" si="15"/>
        <v>-1</v>
      </c>
      <c r="K99" s="237" t="e">
        <f>#REF!-#REF!</f>
        <v>#REF!</v>
      </c>
      <c r="L99" s="347" t="e">
        <f>+K99/#REF!</f>
        <v>#REF!</v>
      </c>
    </row>
    <row r="100" spans="1:12" x14ac:dyDescent="0.25">
      <c r="A100" s="1"/>
      <c r="B100" s="204" t="s">
        <v>87</v>
      </c>
      <c r="C100" s="3"/>
      <c r="D100" s="311">
        <v>11750.720000000001</v>
      </c>
      <c r="E100" s="311">
        <v>9669</v>
      </c>
      <c r="F100" s="311">
        <v>12053.52</v>
      </c>
      <c r="H100" s="237">
        <f t="shared" si="14"/>
        <v>2081.7200000000012</v>
      </c>
      <c r="I100" s="347">
        <f t="shared" si="15"/>
        <v>0.21529837625400777</v>
      </c>
      <c r="K100" s="237" t="e">
        <f>#REF!-#REF!</f>
        <v>#REF!</v>
      </c>
      <c r="L100" s="347" t="e">
        <f>+K100/#REF!</f>
        <v>#REF!</v>
      </c>
    </row>
    <row r="101" spans="1:12" x14ac:dyDescent="0.25">
      <c r="A101" s="1"/>
      <c r="B101" s="204" t="s">
        <v>64</v>
      </c>
      <c r="C101" s="3"/>
      <c r="D101" s="311">
        <v>803.38</v>
      </c>
      <c r="E101" s="311">
        <v>1476</v>
      </c>
      <c r="F101" s="311">
        <v>1824.32</v>
      </c>
      <c r="H101" s="237">
        <f t="shared" si="14"/>
        <v>-672.62</v>
      </c>
      <c r="I101" s="347">
        <f t="shared" si="15"/>
        <v>-0.45570460704607046</v>
      </c>
      <c r="K101" s="237" t="e">
        <f>#REF!-#REF!</f>
        <v>#REF!</v>
      </c>
      <c r="L101" s="347" t="e">
        <f>+K101/#REF!</f>
        <v>#REF!</v>
      </c>
    </row>
    <row r="102" spans="1:12" x14ac:dyDescent="0.25">
      <c r="A102" s="1"/>
      <c r="B102" s="205" t="s">
        <v>88</v>
      </c>
      <c r="C102" s="3"/>
      <c r="D102" s="314">
        <v>21304.78</v>
      </c>
      <c r="E102" s="314">
        <v>20289</v>
      </c>
      <c r="F102" s="314">
        <v>21083.87</v>
      </c>
      <c r="H102" s="246">
        <f t="shared" si="14"/>
        <v>1015.7799999999988</v>
      </c>
      <c r="I102" s="349">
        <f t="shared" si="15"/>
        <v>5.0065552762580651E-2</v>
      </c>
      <c r="K102" s="246" t="e">
        <f>#REF!-#REF!</f>
        <v>#REF!</v>
      </c>
      <c r="L102" s="349" t="e">
        <f>+K102/#REF!</f>
        <v>#REF!</v>
      </c>
    </row>
    <row r="103" spans="1:12" ht="15.75" thickBot="1" x14ac:dyDescent="0.3">
      <c r="A103" s="1"/>
      <c r="B103" s="210" t="s">
        <v>67</v>
      </c>
      <c r="C103" s="4"/>
      <c r="D103" s="319">
        <f>SUM(D86:D102)</f>
        <v>136496.57</v>
      </c>
      <c r="E103" s="319">
        <f>SUM(E86:E102)</f>
        <v>135099.86816666665</v>
      </c>
      <c r="F103" s="319">
        <f>SUM(F86:F102)</f>
        <v>124380.77</v>
      </c>
      <c r="H103" s="241">
        <f t="shared" si="14"/>
        <v>1396.7018333333544</v>
      </c>
      <c r="I103" s="353">
        <f t="shared" si="15"/>
        <v>1.0338291608177633E-2</v>
      </c>
      <c r="K103" s="241" t="e">
        <f>#REF!-#REF!</f>
        <v>#REF!</v>
      </c>
      <c r="L103" s="353" t="e">
        <f>+K103/#REF!</f>
        <v>#REF!</v>
      </c>
    </row>
    <row r="104" spans="1:12" ht="15.75" thickBot="1" x14ac:dyDescent="0.3">
      <c r="A104" s="1"/>
      <c r="B104" s="48"/>
      <c r="C104" s="49"/>
      <c r="D104" s="232"/>
      <c r="E104" s="76"/>
      <c r="F104" s="76"/>
      <c r="H104" s="76"/>
      <c r="I104" s="232"/>
      <c r="K104" s="76"/>
      <c r="L104" s="232"/>
    </row>
    <row r="105" spans="1:12" ht="15.75" thickBot="1" x14ac:dyDescent="0.3">
      <c r="A105" s="1"/>
      <c r="B105" s="208" t="s">
        <v>68</v>
      </c>
      <c r="C105" s="4"/>
      <c r="D105" s="9"/>
      <c r="E105" s="9"/>
      <c r="F105" s="9"/>
      <c r="H105" s="9"/>
      <c r="I105" s="357"/>
      <c r="K105" s="9"/>
      <c r="L105" s="357"/>
    </row>
    <row r="106" spans="1:12" ht="15.75" thickBot="1" x14ac:dyDescent="0.3">
      <c r="A106" s="1"/>
      <c r="B106" s="220" t="s">
        <v>69</v>
      </c>
      <c r="C106" s="4"/>
      <c r="D106" s="217">
        <f>D83+D103</f>
        <v>298954.56</v>
      </c>
      <c r="E106" s="419">
        <f>E83+E103</f>
        <v>306878.99936720467</v>
      </c>
      <c r="F106" s="419">
        <f>F83+F103</f>
        <v>261283.40000000002</v>
      </c>
      <c r="H106" s="244">
        <f t="shared" ref="H106" si="16">D106-E106</f>
        <v>-7924.4393672046717</v>
      </c>
      <c r="I106" s="368">
        <f t="shared" ref="I106" si="17">+H106/E106</f>
        <v>-2.5822683805490586E-2</v>
      </c>
      <c r="K106" s="244" t="e">
        <f>#REF!-#REF!</f>
        <v>#REF!</v>
      </c>
      <c r="L106" s="368" t="e">
        <f>+K106/#REF!</f>
        <v>#REF!</v>
      </c>
    </row>
    <row r="107" spans="1:12" ht="15.75" thickBot="1" x14ac:dyDescent="0.3">
      <c r="A107" s="1"/>
      <c r="B107" s="48"/>
      <c r="C107" s="49"/>
      <c r="D107" s="232"/>
      <c r="E107" s="76"/>
      <c r="F107" s="76"/>
      <c r="H107" s="76"/>
      <c r="I107" s="232"/>
      <c r="K107" s="76"/>
      <c r="L107" s="232"/>
    </row>
    <row r="108" spans="1:12" ht="15.75" thickBot="1" x14ac:dyDescent="0.3">
      <c r="A108" s="1"/>
      <c r="B108" s="208" t="s">
        <v>89</v>
      </c>
      <c r="C108" s="4"/>
      <c r="D108" s="101"/>
      <c r="E108" s="101"/>
      <c r="F108" s="101"/>
      <c r="H108" s="101"/>
      <c r="I108" s="358"/>
      <c r="K108" s="101"/>
      <c r="L108" s="358"/>
    </row>
    <row r="109" spans="1:12" ht="15.75" thickBot="1" x14ac:dyDescent="0.3">
      <c r="A109" s="1"/>
      <c r="B109" s="48"/>
      <c r="C109" s="49"/>
      <c r="D109" s="103"/>
      <c r="E109" s="103"/>
      <c r="F109" s="103"/>
      <c r="H109" s="103"/>
      <c r="I109" s="356"/>
      <c r="K109" s="103"/>
      <c r="L109" s="356"/>
    </row>
    <row r="110" spans="1:12" ht="15.75" thickBot="1" x14ac:dyDescent="0.3">
      <c r="A110" s="1"/>
      <c r="B110" s="209" t="s">
        <v>48</v>
      </c>
      <c r="C110" s="4"/>
      <c r="D110" s="416" t="str">
        <f t="shared" ref="D110" si="18">D3</f>
        <v>ACTUAL 2024 - Q1</v>
      </c>
      <c r="E110" s="416" t="str">
        <f>E3</f>
        <v>BUDGET 2024 - Q1</v>
      </c>
      <c r="F110" s="416" t="str">
        <f>F3</f>
        <v>ACTUAL 2023 - Q1</v>
      </c>
      <c r="H110" s="235" t="str">
        <f>+H$3</f>
        <v>B 2024 vs Q1 2024</v>
      </c>
      <c r="I110" s="372" t="str">
        <f>+I$3</f>
        <v>%</v>
      </c>
      <c r="K110" s="235" t="str">
        <f>+K$3</f>
        <v>Act 2021 vs Bud 2021</v>
      </c>
      <c r="L110" s="372" t="str">
        <f>+L$3</f>
        <v>%</v>
      </c>
    </row>
    <row r="111" spans="1:12" x14ac:dyDescent="0.25">
      <c r="A111" s="1"/>
      <c r="B111" s="221" t="s">
        <v>19</v>
      </c>
      <c r="C111" s="3"/>
      <c r="D111" s="311">
        <v>54416.78</v>
      </c>
      <c r="E111" s="311">
        <v>57284.590022986304</v>
      </c>
      <c r="F111" s="317">
        <v>59738.070000000007</v>
      </c>
      <c r="H111" s="237">
        <f t="shared" ref="H111:H119" si="19">D111-E111</f>
        <v>-2867.8100229863048</v>
      </c>
      <c r="I111" s="347">
        <f t="shared" ref="I111:I119" si="20">+H111/E111</f>
        <v>-5.0062504101636283E-2</v>
      </c>
      <c r="K111" s="237" t="e">
        <f>#REF!-#REF!</f>
        <v>#REF!</v>
      </c>
      <c r="L111" s="347" t="e">
        <f>+K111/#REF!</f>
        <v>#REF!</v>
      </c>
    </row>
    <row r="112" spans="1:12" x14ac:dyDescent="0.25">
      <c r="A112" s="1"/>
      <c r="B112" s="204" t="s">
        <v>50</v>
      </c>
      <c r="C112" s="3"/>
      <c r="D112" s="311">
        <v>6189.82</v>
      </c>
      <c r="E112" s="311">
        <v>8019.8426032180832</v>
      </c>
      <c r="F112" s="311">
        <v>9148.93</v>
      </c>
      <c r="H112" s="237">
        <f t="shared" si="19"/>
        <v>-1830.0226032180835</v>
      </c>
      <c r="I112" s="347">
        <f t="shared" si="20"/>
        <v>-0.22818684776728151</v>
      </c>
      <c r="K112" s="237" t="e">
        <f>#REF!-#REF!</f>
        <v>#REF!</v>
      </c>
      <c r="L112" s="347" t="e">
        <f>+K112/#REF!</f>
        <v>#REF!</v>
      </c>
    </row>
    <row r="113" spans="1:12" x14ac:dyDescent="0.25">
      <c r="A113" s="1"/>
      <c r="B113" s="204" t="s">
        <v>73</v>
      </c>
      <c r="C113" s="3"/>
      <c r="D113" s="311">
        <v>4138.62</v>
      </c>
      <c r="E113" s="311">
        <v>5100</v>
      </c>
      <c r="F113" s="311">
        <v>7206.7400000000007</v>
      </c>
      <c r="H113" s="237">
        <f t="shared" si="19"/>
        <v>-961.38000000000011</v>
      </c>
      <c r="I113" s="347">
        <f t="shared" si="20"/>
        <v>-0.18850588235294119</v>
      </c>
      <c r="K113" s="237" t="e">
        <f>#REF!-#REF!</f>
        <v>#REF!</v>
      </c>
      <c r="L113" s="347" t="e">
        <f>+K113/#REF!</f>
        <v>#REF!</v>
      </c>
    </row>
    <row r="114" spans="1:12" x14ac:dyDescent="0.25">
      <c r="A114" s="1"/>
      <c r="B114" s="204" t="s">
        <v>52</v>
      </c>
      <c r="C114" s="3"/>
      <c r="D114" s="311">
        <v>0</v>
      </c>
      <c r="E114" s="311"/>
      <c r="F114" s="311"/>
      <c r="H114" s="237"/>
      <c r="I114" s="347"/>
      <c r="K114" s="237" t="e">
        <f>#REF!-#REF!</f>
        <v>#REF!</v>
      </c>
      <c r="L114" s="347"/>
    </row>
    <row r="115" spans="1:12" x14ac:dyDescent="0.25">
      <c r="A115" s="1"/>
      <c r="B115" s="204" t="s">
        <v>53</v>
      </c>
      <c r="C115" s="3"/>
      <c r="D115" s="311">
        <v>0</v>
      </c>
      <c r="E115" s="311">
        <v>4650</v>
      </c>
      <c r="F115" s="311">
        <v>4388.26</v>
      </c>
      <c r="H115" s="237">
        <f t="shared" si="19"/>
        <v>-4650</v>
      </c>
      <c r="I115" s="347">
        <f t="shared" si="20"/>
        <v>-1</v>
      </c>
      <c r="K115" s="237" t="e">
        <f>#REF!-#REF!</f>
        <v>#REF!</v>
      </c>
      <c r="L115" s="347" t="e">
        <f>+K115/#REF!</f>
        <v>#REF!</v>
      </c>
    </row>
    <row r="116" spans="1:12" x14ac:dyDescent="0.25">
      <c r="A116" s="1"/>
      <c r="B116" s="204" t="s">
        <v>54</v>
      </c>
      <c r="C116" s="3"/>
      <c r="D116" s="311">
        <v>8524.36</v>
      </c>
      <c r="E116" s="311">
        <v>6415.8740825744662</v>
      </c>
      <c r="F116" s="311">
        <v>8908.25</v>
      </c>
      <c r="H116" s="237">
        <f t="shared" si="19"/>
        <v>2108.4859174255344</v>
      </c>
      <c r="I116" s="347">
        <f t="shared" si="20"/>
        <v>0.32863580087274291</v>
      </c>
      <c r="K116" s="237" t="e">
        <f>#REF!-#REF!</f>
        <v>#REF!</v>
      </c>
      <c r="L116" s="347" t="e">
        <f>+K116/#REF!</f>
        <v>#REF!</v>
      </c>
    </row>
    <row r="117" spans="1:12" x14ac:dyDescent="0.25">
      <c r="A117" s="1"/>
      <c r="B117" s="204" t="s">
        <v>90</v>
      </c>
      <c r="C117" s="3"/>
      <c r="D117" s="311">
        <v>-36634.79</v>
      </c>
      <c r="E117" s="311">
        <v>-40735.153354389426</v>
      </c>
      <c r="F117" s="311">
        <v>-44695</v>
      </c>
      <c r="H117" s="237">
        <f t="shared" si="19"/>
        <v>4100.3633543894248</v>
      </c>
      <c r="I117" s="347">
        <f t="shared" si="20"/>
        <v>-0.1006590872192602</v>
      </c>
      <c r="K117" s="237" t="e">
        <f>#REF!-#REF!</f>
        <v>#REF!</v>
      </c>
      <c r="L117" s="347" t="e">
        <f>+K117/#REF!</f>
        <v>#REF!</v>
      </c>
    </row>
    <row r="118" spans="1:12" x14ac:dyDescent="0.25">
      <c r="A118" s="1"/>
      <c r="B118" s="203"/>
      <c r="C118" s="4"/>
      <c r="D118" s="314"/>
      <c r="E118" s="314"/>
      <c r="F118" s="314"/>
      <c r="H118" s="246"/>
      <c r="I118" s="349"/>
      <c r="K118" s="246" t="e">
        <f>#REF!-#REF!</f>
        <v>#REF!</v>
      </c>
      <c r="L118" s="349"/>
    </row>
    <row r="119" spans="1:12" ht="15.75" thickBot="1" x14ac:dyDescent="0.3">
      <c r="A119" s="1"/>
      <c r="B119" s="206" t="s">
        <v>55</v>
      </c>
      <c r="C119" s="4"/>
      <c r="D119" s="319">
        <f>SUM(D111:D118)</f>
        <v>36634.79</v>
      </c>
      <c r="E119" s="319">
        <f>SUM(E111:E118)</f>
        <v>40735.153354389426</v>
      </c>
      <c r="F119" s="319">
        <f>SUM(F111:F118)</f>
        <v>44695.25</v>
      </c>
      <c r="H119" s="241">
        <f t="shared" si="19"/>
        <v>-4100.3633543894248</v>
      </c>
      <c r="I119" s="353">
        <f t="shared" si="20"/>
        <v>-0.1006590872192602</v>
      </c>
      <c r="K119" s="241" t="e">
        <f>#REF!-#REF!</f>
        <v>#REF!</v>
      </c>
      <c r="L119" s="353" t="e">
        <f>+K119/#REF!</f>
        <v>#REF!</v>
      </c>
    </row>
    <row r="120" spans="1:12" ht="15.75" thickBot="1" x14ac:dyDescent="0.3">
      <c r="A120" s="1"/>
      <c r="B120" s="48"/>
      <c r="C120" s="49"/>
      <c r="D120" s="76"/>
      <c r="E120" s="76"/>
      <c r="F120" s="76"/>
      <c r="H120" s="76"/>
      <c r="I120" s="232"/>
      <c r="K120" s="76"/>
      <c r="L120" s="232"/>
    </row>
    <row r="121" spans="1:12" ht="15.75" thickBot="1" x14ac:dyDescent="0.3">
      <c r="A121" s="1"/>
      <c r="B121" s="208" t="s">
        <v>56</v>
      </c>
      <c r="C121" s="4"/>
      <c r="D121" s="9"/>
      <c r="E121" s="9"/>
      <c r="F121" s="9"/>
      <c r="H121" s="9"/>
      <c r="I121" s="357"/>
      <c r="K121" s="9"/>
      <c r="L121" s="357"/>
    </row>
    <row r="122" spans="1:12" x14ac:dyDescent="0.25">
      <c r="A122" s="3"/>
      <c r="B122" s="211" t="s">
        <v>91</v>
      </c>
      <c r="C122" s="3"/>
      <c r="D122" s="326">
        <v>19930.940000000002</v>
      </c>
      <c r="E122" s="422">
        <v>20496</v>
      </c>
      <c r="F122" s="422">
        <v>7691.77</v>
      </c>
      <c r="H122" s="236">
        <f t="shared" ref="H122:H133" si="21">D122-E122</f>
        <v>-565.05999999999767</v>
      </c>
      <c r="I122" s="366">
        <f t="shared" ref="I122:I133" si="22">+H122/E122</f>
        <v>-2.7569281811084975E-2</v>
      </c>
      <c r="K122" s="236" t="e">
        <f>#REF!-#REF!</f>
        <v>#REF!</v>
      </c>
      <c r="L122" s="366" t="e">
        <f>+K122/#REF!</f>
        <v>#REF!</v>
      </c>
    </row>
    <row r="123" spans="1:12" x14ac:dyDescent="0.25">
      <c r="A123" s="3"/>
      <c r="B123" s="204" t="s">
        <v>110</v>
      </c>
      <c r="C123" s="3"/>
      <c r="D123" s="315">
        <v>4451.2</v>
      </c>
      <c r="E123" s="162">
        <v>747</v>
      </c>
      <c r="F123" s="162">
        <v>0</v>
      </c>
      <c r="H123" s="237">
        <f t="shared" si="21"/>
        <v>3704.2</v>
      </c>
      <c r="I123" s="347">
        <f t="shared" si="22"/>
        <v>4.9587684069611777</v>
      </c>
      <c r="K123" s="237" t="e">
        <f>#REF!-#REF!</f>
        <v>#REF!</v>
      </c>
      <c r="L123" s="347" t="e">
        <f>+K123/#REF!</f>
        <v>#REF!</v>
      </c>
    </row>
    <row r="124" spans="1:12" x14ac:dyDescent="0.25">
      <c r="A124" s="3"/>
      <c r="B124" s="204" t="s">
        <v>92</v>
      </c>
      <c r="C124" s="3"/>
      <c r="D124" s="315">
        <v>8277.27</v>
      </c>
      <c r="E124" s="162">
        <v>4572</v>
      </c>
      <c r="F124" s="162">
        <v>5310.24</v>
      </c>
      <c r="H124" s="237">
        <f t="shared" si="21"/>
        <v>3705.2700000000004</v>
      </c>
      <c r="I124" s="347">
        <f t="shared" si="22"/>
        <v>0.81042650918635184</v>
      </c>
      <c r="K124" s="237" t="e">
        <f>#REF!-#REF!</f>
        <v>#REF!</v>
      </c>
      <c r="L124" s="347" t="e">
        <f>+K124/#REF!</f>
        <v>#REF!</v>
      </c>
    </row>
    <row r="125" spans="1:12" x14ac:dyDescent="0.25">
      <c r="A125" s="3"/>
      <c r="B125" s="204" t="s">
        <v>61</v>
      </c>
      <c r="C125" s="3"/>
      <c r="D125" s="315">
        <v>728.13999999999987</v>
      </c>
      <c r="E125" s="162">
        <v>240</v>
      </c>
      <c r="F125" s="162"/>
      <c r="H125" s="237">
        <f t="shared" si="21"/>
        <v>488.13999999999987</v>
      </c>
      <c r="I125" s="347">
        <f t="shared" si="22"/>
        <v>2.0339166666666659</v>
      </c>
      <c r="K125" s="237" t="e">
        <f>#REF!-#REF!</f>
        <v>#REF!</v>
      </c>
      <c r="L125" s="347" t="e">
        <f>+K125/#REF!</f>
        <v>#REF!</v>
      </c>
    </row>
    <row r="126" spans="1:12" x14ac:dyDescent="0.25">
      <c r="A126" s="3"/>
      <c r="B126" s="222" t="s">
        <v>79</v>
      </c>
      <c r="C126" s="3"/>
      <c r="D126" s="162">
        <v>0</v>
      </c>
      <c r="E126" s="162">
        <v>1935.0833333333335</v>
      </c>
      <c r="F126" s="162"/>
      <c r="H126" s="237">
        <f t="shared" si="21"/>
        <v>-1935.0833333333335</v>
      </c>
      <c r="I126" s="347">
        <f t="shared" si="22"/>
        <v>-1</v>
      </c>
      <c r="K126" s="237" t="e">
        <f>#REF!-#REF!</f>
        <v>#REF!</v>
      </c>
      <c r="L126" s="347" t="e">
        <f>+K126/#REF!</f>
        <v>#REF!</v>
      </c>
    </row>
    <row r="127" spans="1:12" x14ac:dyDescent="0.25">
      <c r="A127" s="1"/>
      <c r="B127" s="204" t="s">
        <v>93</v>
      </c>
      <c r="C127" s="1"/>
      <c r="D127" s="327">
        <v>102824.37</v>
      </c>
      <c r="E127" s="162">
        <v>107766</v>
      </c>
      <c r="F127" s="162">
        <v>117428.62</v>
      </c>
      <c r="H127" s="237">
        <f t="shared" si="21"/>
        <v>-4941.6300000000047</v>
      </c>
      <c r="I127" s="347">
        <f t="shared" si="22"/>
        <v>-4.5855186236846542E-2</v>
      </c>
      <c r="K127" s="237" t="e">
        <f>#REF!-#REF!</f>
        <v>#REF!</v>
      </c>
      <c r="L127" s="347" t="e">
        <f>+K127/#REF!</f>
        <v>#REF!</v>
      </c>
    </row>
    <row r="128" spans="1:12" x14ac:dyDescent="0.25">
      <c r="A128" s="1"/>
      <c r="B128" s="204" t="s">
        <v>94</v>
      </c>
      <c r="C128" s="3"/>
      <c r="D128" s="315">
        <v>0</v>
      </c>
      <c r="E128" s="162">
        <v>0</v>
      </c>
      <c r="F128" s="162">
        <v>0</v>
      </c>
      <c r="H128" s="237">
        <f t="shared" si="21"/>
        <v>0</v>
      </c>
      <c r="I128" s="347">
        <v>0</v>
      </c>
      <c r="K128" s="237" t="e">
        <f>#REF!-#REF!</f>
        <v>#REF!</v>
      </c>
      <c r="L128" s="347" t="e">
        <f>+K128/#REF!</f>
        <v>#REF!</v>
      </c>
    </row>
    <row r="129" spans="1:12" x14ac:dyDescent="0.25">
      <c r="A129" s="1"/>
      <c r="B129" s="204" t="s">
        <v>90</v>
      </c>
      <c r="C129" s="1"/>
      <c r="D129" s="327">
        <v>-68105.959999999992</v>
      </c>
      <c r="E129" s="162">
        <v>-67878.041666666672</v>
      </c>
      <c r="F129" s="162">
        <v>-64330.544999999998</v>
      </c>
      <c r="H129" s="237">
        <f t="shared" si="21"/>
        <v>-227.91833333332033</v>
      </c>
      <c r="I129" s="347">
        <f t="shared" si="22"/>
        <v>3.3577623593293165E-3</v>
      </c>
      <c r="K129" s="237" t="e">
        <f>#REF!-#REF!</f>
        <v>#REF!</v>
      </c>
      <c r="L129" s="347" t="e">
        <f>+K129/#REF!</f>
        <v>#REF!</v>
      </c>
    </row>
    <row r="130" spans="1:12" x14ac:dyDescent="0.25">
      <c r="A130" s="1"/>
      <c r="B130" s="204" t="s">
        <v>95</v>
      </c>
      <c r="C130" s="3"/>
      <c r="D130" s="315">
        <v>13500</v>
      </c>
      <c r="E130" s="162">
        <v>13500</v>
      </c>
      <c r="F130" s="162">
        <v>13500</v>
      </c>
      <c r="H130" s="237">
        <f t="shared" si="21"/>
        <v>0</v>
      </c>
      <c r="I130" s="347">
        <f t="shared" si="22"/>
        <v>0</v>
      </c>
      <c r="K130" s="237" t="e">
        <f>#REF!-#REF!</f>
        <v>#REF!</v>
      </c>
      <c r="L130" s="347" t="e">
        <f>+K130/#REF!</f>
        <v>#REF!</v>
      </c>
    </row>
    <row r="131" spans="1:12" x14ac:dyDescent="0.25">
      <c r="A131" s="1"/>
      <c r="B131" s="204" t="s">
        <v>96</v>
      </c>
      <c r="C131" s="3"/>
      <c r="D131" s="315">
        <v>0</v>
      </c>
      <c r="E131" s="109">
        <v>939.99</v>
      </c>
      <c r="F131" s="109">
        <v>0</v>
      </c>
      <c r="H131" s="237">
        <f t="shared" si="21"/>
        <v>-939.99</v>
      </c>
      <c r="I131" s="347">
        <f t="shared" si="22"/>
        <v>-1</v>
      </c>
      <c r="K131" s="237" t="e">
        <f>#REF!-#REF!</f>
        <v>#REF!</v>
      </c>
      <c r="L131" s="347" t="e">
        <f>+K131/#REF!</f>
        <v>#REF!</v>
      </c>
    </row>
    <row r="132" spans="1:12" x14ac:dyDescent="0.25">
      <c r="A132" s="1"/>
      <c r="B132" s="205" t="s">
        <v>97</v>
      </c>
      <c r="C132" s="3"/>
      <c r="D132" s="328">
        <v>91</v>
      </c>
      <c r="E132" s="118">
        <v>2750.4900000000002</v>
      </c>
      <c r="F132" s="118">
        <v>1607.8200000000002</v>
      </c>
      <c r="H132" s="246">
        <f t="shared" si="21"/>
        <v>-2659.4900000000002</v>
      </c>
      <c r="I132" s="349">
        <f t="shared" si="22"/>
        <v>-0.96691498605702986</v>
      </c>
      <c r="K132" s="246" t="e">
        <f>#REF!-#REF!</f>
        <v>#REF!</v>
      </c>
      <c r="L132" s="349" t="e">
        <f>+K132/#REF!</f>
        <v>#REF!</v>
      </c>
    </row>
    <row r="133" spans="1:12" ht="15.75" thickBot="1" x14ac:dyDescent="0.3">
      <c r="A133" s="1"/>
      <c r="B133" s="210" t="s">
        <v>67</v>
      </c>
      <c r="C133" s="4"/>
      <c r="D133" s="319">
        <f>SUM(D122:D132)</f>
        <v>81696.959999999992</v>
      </c>
      <c r="E133" s="319">
        <f>SUM(E122:E132)</f>
        <v>85068.521666666682</v>
      </c>
      <c r="F133" s="319">
        <f>SUM(F122:F132)</f>
        <v>81207.904999999999</v>
      </c>
      <c r="H133" s="241">
        <f t="shared" si="21"/>
        <v>-3371.5616666666901</v>
      </c>
      <c r="I133" s="353">
        <f t="shared" si="22"/>
        <v>-3.9633481346694255E-2</v>
      </c>
      <c r="K133" s="241" t="e">
        <f>#REF!-#REF!</f>
        <v>#REF!</v>
      </c>
      <c r="L133" s="353" t="e">
        <f>+K133/#REF!</f>
        <v>#REF!</v>
      </c>
    </row>
    <row r="134" spans="1:12" ht="15.75" thickBot="1" x14ac:dyDescent="0.3">
      <c r="A134" s="1"/>
      <c r="B134" s="48"/>
      <c r="C134" s="49"/>
      <c r="D134" s="57"/>
      <c r="E134" s="57"/>
      <c r="F134" s="57"/>
      <c r="H134" s="57"/>
      <c r="I134" s="232"/>
      <c r="K134" s="57"/>
      <c r="L134" s="232"/>
    </row>
    <row r="135" spans="1:12" ht="15.75" thickBot="1" x14ac:dyDescent="0.3">
      <c r="A135" s="1"/>
      <c r="B135" s="208" t="s">
        <v>68</v>
      </c>
      <c r="C135" s="4"/>
      <c r="D135" s="120"/>
      <c r="E135" s="120"/>
      <c r="F135" s="120"/>
      <c r="H135" s="120"/>
      <c r="I135" s="357"/>
      <c r="K135" s="120"/>
      <c r="L135" s="357"/>
    </row>
    <row r="136" spans="1:12" ht="15.75" thickBot="1" x14ac:dyDescent="0.3">
      <c r="A136" s="1"/>
      <c r="B136" s="220" t="s">
        <v>69</v>
      </c>
      <c r="C136" s="4"/>
      <c r="D136" s="419">
        <f>D119+D133</f>
        <v>118331.75</v>
      </c>
      <c r="E136" s="419">
        <f>E119+E133</f>
        <v>125803.67502105611</v>
      </c>
      <c r="F136" s="419">
        <f>F119+F133</f>
        <v>125903.155</v>
      </c>
      <c r="H136" s="244">
        <f t="shared" ref="H136" si="23">D136-E136</f>
        <v>-7471.9250210561149</v>
      </c>
      <c r="I136" s="368">
        <f t="shared" ref="I136" si="24">+H136/E136</f>
        <v>-5.93935353621865E-2</v>
      </c>
      <c r="K136" s="244" t="e">
        <f>#REF!-#REF!</f>
        <v>#REF!</v>
      </c>
      <c r="L136" s="368" t="e">
        <f>+K136/#REF!</f>
        <v>#REF!</v>
      </c>
    </row>
    <row r="137" spans="1:12" x14ac:dyDescent="0.25">
      <c r="A137" s="1"/>
      <c r="B137" s="2"/>
      <c r="C137" s="4"/>
      <c r="D137" s="100"/>
      <c r="E137" s="100"/>
      <c r="F137" s="100"/>
      <c r="H137" s="100"/>
      <c r="I137" s="233"/>
      <c r="K137" s="100"/>
      <c r="L137" s="233"/>
    </row>
    <row r="138" spans="1:12" ht="15.75" thickBot="1" x14ac:dyDescent="0.3">
      <c r="A138" s="1"/>
      <c r="B138" s="48"/>
      <c r="C138" s="49"/>
      <c r="D138" s="76"/>
      <c r="E138" s="76"/>
      <c r="F138" s="76"/>
      <c r="H138" s="76"/>
      <c r="I138" s="232"/>
      <c r="K138" s="76"/>
      <c r="L138" s="232"/>
    </row>
    <row r="139" spans="1:12" ht="15.75" thickBot="1" x14ac:dyDescent="0.3">
      <c r="A139" s="1"/>
      <c r="B139" s="208" t="s">
        <v>98</v>
      </c>
      <c r="C139" s="4"/>
      <c r="D139" s="101"/>
      <c r="E139" s="101"/>
      <c r="F139" s="101"/>
      <c r="H139" s="101"/>
      <c r="I139" s="358"/>
      <c r="K139" s="101"/>
      <c r="L139" s="358"/>
    </row>
    <row r="140" spans="1:12" ht="15.75" thickBot="1" x14ac:dyDescent="0.3">
      <c r="A140" s="1"/>
      <c r="B140" s="48"/>
      <c r="C140" s="49"/>
      <c r="D140" s="103"/>
      <c r="E140" s="103"/>
      <c r="F140" s="103"/>
      <c r="H140" s="103"/>
      <c r="I140" s="356"/>
      <c r="K140" s="103"/>
      <c r="L140" s="356"/>
    </row>
    <row r="141" spans="1:12" ht="15.75" thickBot="1" x14ac:dyDescent="0.3">
      <c r="A141" s="1"/>
      <c r="B141" s="208" t="s">
        <v>48</v>
      </c>
      <c r="C141" s="4"/>
      <c r="D141" s="224" t="str">
        <f t="shared" ref="D141" si="25">D3</f>
        <v>ACTUAL 2024 - Q1</v>
      </c>
      <c r="E141" s="416" t="str">
        <f>E3</f>
        <v>BUDGET 2024 - Q1</v>
      </c>
      <c r="F141" s="416" t="str">
        <f>F3</f>
        <v>ACTUAL 2023 - Q1</v>
      </c>
      <c r="H141" s="235" t="str">
        <f>+H$3</f>
        <v>B 2024 vs Q1 2024</v>
      </c>
      <c r="I141" s="372" t="str">
        <f>+I$3</f>
        <v>%</v>
      </c>
      <c r="K141" s="235" t="str">
        <f>+K$3</f>
        <v>Act 2021 vs Bud 2021</v>
      </c>
      <c r="L141" s="372" t="str">
        <f>+L$3</f>
        <v>%</v>
      </c>
    </row>
    <row r="142" spans="1:12" x14ac:dyDescent="0.25">
      <c r="A142" s="1"/>
      <c r="B142" s="225" t="s">
        <v>99</v>
      </c>
      <c r="C142" s="3"/>
      <c r="D142" s="423">
        <v>16708</v>
      </c>
      <c r="E142" s="423">
        <v>14415</v>
      </c>
      <c r="F142" s="317">
        <v>13458.25</v>
      </c>
      <c r="G142" s="424"/>
      <c r="H142" s="237">
        <f t="shared" ref="H142:H154" si="26">D142-E142</f>
        <v>2293</v>
      </c>
      <c r="I142" s="347">
        <f t="shared" ref="I142:I154" si="27">+H142/E142</f>
        <v>0.15907041276448144</v>
      </c>
      <c r="K142" s="245"/>
      <c r="L142" s="347"/>
    </row>
    <row r="143" spans="1:12" x14ac:dyDescent="0.25">
      <c r="A143" s="1"/>
      <c r="B143" s="203" t="s">
        <v>100</v>
      </c>
      <c r="C143" s="4"/>
      <c r="D143" s="311"/>
      <c r="E143" s="311"/>
      <c r="F143" s="311"/>
      <c r="G143" s="424"/>
      <c r="H143" s="237"/>
      <c r="I143" s="347"/>
      <c r="K143" s="245"/>
      <c r="L143" s="347"/>
    </row>
    <row r="144" spans="1:12" x14ac:dyDescent="0.25">
      <c r="A144" s="1"/>
      <c r="B144" s="204"/>
      <c r="C144" s="3"/>
      <c r="D144" s="311"/>
      <c r="E144" s="311"/>
      <c r="F144" s="311"/>
      <c r="G144" s="424"/>
      <c r="H144" s="237"/>
      <c r="I144" s="347"/>
      <c r="K144" s="245"/>
      <c r="L144" s="347"/>
    </row>
    <row r="145" spans="1:12" x14ac:dyDescent="0.25">
      <c r="A145" s="1"/>
      <c r="B145" s="204" t="s">
        <v>50</v>
      </c>
      <c r="C145" s="3"/>
      <c r="D145" s="311">
        <v>2579.4799999999996</v>
      </c>
      <c r="E145" s="311">
        <v>4310</v>
      </c>
      <c r="F145" s="311">
        <v>3308.1800000000003</v>
      </c>
      <c r="G145" s="424"/>
      <c r="H145" s="237">
        <f t="shared" si="26"/>
        <v>-1730.5200000000004</v>
      </c>
      <c r="I145" s="347">
        <f t="shared" si="27"/>
        <v>-0.40151276102088179</v>
      </c>
      <c r="K145" s="245"/>
      <c r="L145" s="347"/>
    </row>
    <row r="146" spans="1:12" x14ac:dyDescent="0.25">
      <c r="A146" s="1"/>
      <c r="B146" s="204" t="s">
        <v>73</v>
      </c>
      <c r="C146" s="3"/>
      <c r="D146" s="311">
        <v>981.98</v>
      </c>
      <c r="E146" s="311">
        <v>3141</v>
      </c>
      <c r="F146" s="311">
        <v>6231.42</v>
      </c>
      <c r="G146" s="424"/>
      <c r="H146" s="237">
        <f t="shared" si="26"/>
        <v>-2159.02</v>
      </c>
      <c r="I146" s="347">
        <f t="shared" si="27"/>
        <v>-0.68736708054759632</v>
      </c>
      <c r="K146" s="245"/>
      <c r="L146" s="347"/>
    </row>
    <row r="147" spans="1:12" x14ac:dyDescent="0.25">
      <c r="A147" s="1"/>
      <c r="B147" s="204" t="s">
        <v>52</v>
      </c>
      <c r="C147" s="3"/>
      <c r="D147" s="311">
        <v>0</v>
      </c>
      <c r="E147" s="311">
        <v>0</v>
      </c>
      <c r="F147" s="311"/>
      <c r="G147" s="424"/>
      <c r="H147" s="237"/>
      <c r="I147" s="347"/>
      <c r="K147" s="245"/>
      <c r="L147" s="347"/>
    </row>
    <row r="148" spans="1:12" x14ac:dyDescent="0.25">
      <c r="A148" s="1"/>
      <c r="B148" s="204" t="s">
        <v>53</v>
      </c>
      <c r="C148" s="3"/>
      <c r="D148" s="311"/>
      <c r="E148" s="311"/>
      <c r="F148" s="311"/>
      <c r="G148" s="424"/>
      <c r="H148" s="237"/>
      <c r="I148" s="347"/>
      <c r="K148" s="245"/>
      <c r="L148" s="347"/>
    </row>
    <row r="149" spans="1:12" x14ac:dyDescent="0.25">
      <c r="A149" s="1"/>
      <c r="B149" s="226" t="s">
        <v>54</v>
      </c>
      <c r="C149" s="3"/>
      <c r="D149" s="418">
        <v>1878</v>
      </c>
      <c r="E149" s="418">
        <v>2097.1831999999999</v>
      </c>
      <c r="F149" s="418">
        <v>2166.33</v>
      </c>
      <c r="G149" s="424"/>
      <c r="H149" s="246">
        <f t="shared" si="26"/>
        <v>-219.18319999999994</v>
      </c>
      <c r="I149" s="349">
        <f t="shared" si="27"/>
        <v>-0.10451313933851843</v>
      </c>
      <c r="K149" s="247"/>
      <c r="L149" s="349"/>
    </row>
    <row r="150" spans="1:12" ht="15.75" thickBot="1" x14ac:dyDescent="0.3">
      <c r="A150" s="1"/>
      <c r="B150" s="203" t="s">
        <v>101</v>
      </c>
      <c r="C150" s="4"/>
      <c r="D150" s="425">
        <f>SUM(D145:D149)</f>
        <v>5439.4599999999991</v>
      </c>
      <c r="E150" s="425">
        <f>SUM(E145:E149)</f>
        <v>9548.1831999999995</v>
      </c>
      <c r="F150" s="425">
        <f>SUM(F145:F149)</f>
        <v>11705.93</v>
      </c>
      <c r="G150" s="424"/>
      <c r="H150" s="237">
        <f t="shared" si="26"/>
        <v>-4108.7232000000004</v>
      </c>
      <c r="I150" s="347">
        <f t="shared" si="27"/>
        <v>-0.43031465923276385</v>
      </c>
      <c r="K150" s="245"/>
      <c r="L150" s="347"/>
    </row>
    <row r="151" spans="1:12" x14ac:dyDescent="0.25">
      <c r="A151" s="1"/>
      <c r="B151" s="227"/>
      <c r="C151" s="4"/>
      <c r="D151" s="317"/>
      <c r="E151" s="317"/>
      <c r="F151" s="311"/>
      <c r="G151" s="424"/>
      <c r="H151" s="237"/>
      <c r="I151" s="347"/>
      <c r="K151" s="245"/>
      <c r="L151" s="347"/>
    </row>
    <row r="152" spans="1:12" x14ac:dyDescent="0.25">
      <c r="A152" s="1"/>
      <c r="B152" s="203" t="s">
        <v>102</v>
      </c>
      <c r="C152" s="4"/>
      <c r="D152" s="311">
        <f>+D150+D142</f>
        <v>22147.46</v>
      </c>
      <c r="E152" s="311">
        <f>+E150+E142</f>
        <v>23963.183199999999</v>
      </c>
      <c r="F152" s="311">
        <f>+F150+F142</f>
        <v>25164.18</v>
      </c>
      <c r="G152" s="424"/>
      <c r="H152" s="237">
        <f t="shared" si="26"/>
        <v>-1815.7232000000004</v>
      </c>
      <c r="I152" s="347">
        <f t="shared" si="27"/>
        <v>-7.577136913930535E-2</v>
      </c>
      <c r="K152" s="237" t="e">
        <f>#REF!-#REF!</f>
        <v>#REF!</v>
      </c>
      <c r="L152" s="347" t="e">
        <f>+K152/#REF!</f>
        <v>#REF!</v>
      </c>
    </row>
    <row r="153" spans="1:12" x14ac:dyDescent="0.25">
      <c r="A153" s="1"/>
      <c r="B153" s="204"/>
      <c r="C153" s="3"/>
      <c r="D153" s="311"/>
      <c r="E153" s="311"/>
      <c r="F153" s="418"/>
      <c r="G153" s="424"/>
      <c r="H153" s="246">
        <f t="shared" si="26"/>
        <v>0</v>
      </c>
      <c r="I153" s="349"/>
      <c r="K153" s="246" t="e">
        <f>#REF!-#REF!</f>
        <v>#REF!</v>
      </c>
      <c r="L153" s="349" t="e">
        <f>+K153/#REF!</f>
        <v>#REF!</v>
      </c>
    </row>
    <row r="154" spans="1:12" ht="15.75" thickBot="1" x14ac:dyDescent="0.3">
      <c r="A154" s="1"/>
      <c r="B154" s="206" t="s">
        <v>55</v>
      </c>
      <c r="C154" s="4"/>
      <c r="D154" s="343">
        <f t="shared" ref="D154" si="28">D152</f>
        <v>22147.46</v>
      </c>
      <c r="E154" s="343">
        <f>E152</f>
        <v>23963.183199999999</v>
      </c>
      <c r="F154" s="343">
        <f>F152</f>
        <v>25164.18</v>
      </c>
      <c r="H154" s="241">
        <f t="shared" si="26"/>
        <v>-1815.7232000000004</v>
      </c>
      <c r="I154" s="353">
        <f t="shared" si="27"/>
        <v>-7.577136913930535E-2</v>
      </c>
      <c r="K154" s="241" t="e">
        <f>#REF!-#REF!</f>
        <v>#REF!</v>
      </c>
      <c r="L154" s="353" t="e">
        <f>+K154/#REF!</f>
        <v>#REF!</v>
      </c>
    </row>
    <row r="155" spans="1:12" ht="15.75" thickBot="1" x14ac:dyDescent="0.3">
      <c r="A155" s="1"/>
      <c r="B155" s="48"/>
      <c r="C155" s="49"/>
      <c r="D155" s="57"/>
      <c r="E155" s="57"/>
      <c r="F155" s="57"/>
      <c r="H155" s="57"/>
      <c r="I155" s="232"/>
      <c r="K155" s="57"/>
      <c r="L155" s="232"/>
    </row>
    <row r="156" spans="1:12" ht="15.75" thickBot="1" x14ac:dyDescent="0.3">
      <c r="A156" s="1"/>
      <c r="B156" s="208" t="s">
        <v>56</v>
      </c>
      <c r="C156" s="4"/>
      <c r="D156" s="9"/>
      <c r="E156" s="9"/>
      <c r="F156" s="9"/>
      <c r="H156" s="9"/>
      <c r="I156" s="357"/>
      <c r="K156" s="9"/>
      <c r="L156" s="357"/>
    </row>
    <row r="157" spans="1:12" x14ac:dyDescent="0.25">
      <c r="A157" s="1"/>
      <c r="B157" s="211" t="s">
        <v>103</v>
      </c>
      <c r="C157" s="3"/>
      <c r="D157" s="317">
        <v>1500</v>
      </c>
      <c r="E157" s="317">
        <v>1500</v>
      </c>
      <c r="F157" s="317">
        <v>1125</v>
      </c>
      <c r="H157" s="236">
        <f t="shared" ref="H157:H160" si="29">D157-E157</f>
        <v>0</v>
      </c>
      <c r="I157" s="366">
        <f t="shared" ref="I157:I160" si="30">+H157/E157</f>
        <v>0</v>
      </c>
      <c r="K157" s="236" t="e">
        <f>#REF!-#REF!</f>
        <v>#REF!</v>
      </c>
      <c r="L157" s="366"/>
    </row>
    <row r="158" spans="1:12" x14ac:dyDescent="0.25">
      <c r="A158" s="1"/>
      <c r="B158" s="204" t="s">
        <v>104</v>
      </c>
      <c r="C158" s="3"/>
      <c r="D158" s="311"/>
      <c r="E158" s="311"/>
      <c r="F158" s="311"/>
      <c r="H158" s="237">
        <f t="shared" si="29"/>
        <v>0</v>
      </c>
      <c r="I158" s="347"/>
      <c r="K158" s="237" t="e">
        <f>#REF!-#REF!</f>
        <v>#REF!</v>
      </c>
      <c r="L158" s="347"/>
    </row>
    <row r="159" spans="1:12" x14ac:dyDescent="0.25">
      <c r="A159" s="1"/>
      <c r="B159" s="204" t="s">
        <v>94</v>
      </c>
      <c r="C159" s="3"/>
      <c r="D159" s="311"/>
      <c r="E159" s="311">
        <v>0</v>
      </c>
      <c r="F159" s="418"/>
      <c r="H159" s="246">
        <f t="shared" si="29"/>
        <v>0</v>
      </c>
      <c r="I159" s="349">
        <v>0</v>
      </c>
      <c r="K159" s="246" t="e">
        <f>#REF!-#REF!</f>
        <v>#REF!</v>
      </c>
      <c r="L159" s="349" t="e">
        <f>+K159/#REF!</f>
        <v>#REF!</v>
      </c>
    </row>
    <row r="160" spans="1:12" ht="15.75" thickBot="1" x14ac:dyDescent="0.3">
      <c r="A160" s="1"/>
      <c r="B160" s="206" t="s">
        <v>67</v>
      </c>
      <c r="C160" s="4"/>
      <c r="D160" s="343">
        <f>SUM(D157:D159)</f>
        <v>1500</v>
      </c>
      <c r="E160" s="343">
        <f>SUM(E157:E159)</f>
        <v>1500</v>
      </c>
      <c r="F160" s="343">
        <f>SUM(F157:F159)</f>
        <v>1125</v>
      </c>
      <c r="H160" s="242">
        <f t="shared" si="29"/>
        <v>0</v>
      </c>
      <c r="I160" s="367">
        <f t="shared" si="30"/>
        <v>0</v>
      </c>
      <c r="K160" s="242" t="e">
        <f>#REF!-#REF!</f>
        <v>#REF!</v>
      </c>
      <c r="L160" s="367" t="e">
        <f>+K160/#REF!</f>
        <v>#REF!</v>
      </c>
    </row>
    <row r="161" spans="1:12" ht="15.75" thickBot="1" x14ac:dyDescent="0.3">
      <c r="A161" s="1"/>
      <c r="B161" s="48"/>
      <c r="C161" s="49"/>
      <c r="D161" s="76"/>
      <c r="E161" s="76"/>
      <c r="F161" s="76"/>
      <c r="H161" s="76"/>
      <c r="I161" s="232"/>
      <c r="K161" s="76"/>
      <c r="L161" s="232"/>
    </row>
    <row r="162" spans="1:12" ht="15.75" thickBot="1" x14ac:dyDescent="0.3">
      <c r="A162" s="1"/>
      <c r="B162" s="208" t="s">
        <v>68</v>
      </c>
      <c r="C162" s="4"/>
      <c r="D162" s="9"/>
      <c r="E162" s="9"/>
      <c r="F162" s="9"/>
      <c r="H162" s="9"/>
      <c r="I162" s="357"/>
      <c r="K162" s="9"/>
      <c r="L162" s="357"/>
    </row>
    <row r="163" spans="1:12" ht="15.75" thickBot="1" x14ac:dyDescent="0.3">
      <c r="A163" s="1"/>
      <c r="B163" s="220" t="s">
        <v>69</v>
      </c>
      <c r="C163" s="4"/>
      <c r="D163" s="419">
        <f>D154+D160</f>
        <v>23647.46</v>
      </c>
      <c r="E163" s="419">
        <f>E154+E160</f>
        <v>25463.183199999999</v>
      </c>
      <c r="F163" s="419">
        <f>F154+F160</f>
        <v>26289.18</v>
      </c>
      <c r="H163" s="244">
        <f t="shared" ref="H163" si="31">D163-E163</f>
        <v>-1815.7232000000004</v>
      </c>
      <c r="I163" s="368">
        <f t="shared" ref="I163" si="32">+H163/E163</f>
        <v>-7.1307785273288238E-2</v>
      </c>
      <c r="K163" s="244" t="e">
        <f>#REF!-#REF!</f>
        <v>#REF!</v>
      </c>
      <c r="L163" s="368" t="e">
        <f>+K163/#REF!</f>
        <v>#REF!</v>
      </c>
    </row>
    <row r="164" spans="1:12" x14ac:dyDescent="0.25">
      <c r="A164" s="1"/>
      <c r="B164" s="2"/>
      <c r="C164" s="4"/>
      <c r="D164" s="100"/>
      <c r="E164" s="100"/>
      <c r="F164" s="100"/>
      <c r="H164" s="100"/>
      <c r="I164" s="233"/>
      <c r="K164" s="100"/>
      <c r="L164" s="233"/>
    </row>
    <row r="165" spans="1:12" ht="15.75" thickBot="1" x14ac:dyDescent="0.3">
      <c r="A165" s="1"/>
      <c r="B165" s="48"/>
      <c r="C165" s="49"/>
      <c r="D165" s="76"/>
      <c r="E165" s="76"/>
      <c r="F165" s="76"/>
      <c r="H165" s="76"/>
      <c r="I165" s="232"/>
      <c r="K165" s="76"/>
      <c r="L165" s="232"/>
    </row>
    <row r="166" spans="1:12" ht="15.75" thickBot="1" x14ac:dyDescent="0.3">
      <c r="A166" s="1"/>
      <c r="B166" s="208" t="s">
        <v>105</v>
      </c>
      <c r="C166" s="4"/>
      <c r="D166" s="101"/>
      <c r="E166" s="101"/>
      <c r="F166" s="101"/>
      <c r="H166" s="101"/>
      <c r="I166" s="358"/>
      <c r="K166" s="101"/>
      <c r="L166" s="358"/>
    </row>
    <row r="167" spans="1:12" ht="15.75" thickBot="1" x14ac:dyDescent="0.3">
      <c r="A167" s="1"/>
      <c r="B167" s="48"/>
      <c r="C167" s="49"/>
      <c r="D167" s="103"/>
      <c r="E167" s="103"/>
      <c r="F167" s="103"/>
      <c r="H167" s="103"/>
      <c r="I167" s="356"/>
      <c r="K167" s="103"/>
      <c r="L167" s="356"/>
    </row>
    <row r="168" spans="1:12" ht="15.75" thickBot="1" x14ac:dyDescent="0.3">
      <c r="A168" s="1"/>
      <c r="B168" s="209" t="s">
        <v>56</v>
      </c>
      <c r="C168" s="4"/>
      <c r="D168" s="416" t="str">
        <f t="shared" ref="D168" si="33">D3</f>
        <v>ACTUAL 2024 - Q1</v>
      </c>
      <c r="E168" s="416" t="str">
        <f>E3</f>
        <v>BUDGET 2024 - Q1</v>
      </c>
      <c r="F168" s="416" t="str">
        <f>F3</f>
        <v>ACTUAL 2023 - Q1</v>
      </c>
      <c r="H168" s="235" t="str">
        <f>+H$3</f>
        <v>B 2024 vs Q1 2024</v>
      </c>
      <c r="I168" s="372" t="str">
        <f>+I$3</f>
        <v>%</v>
      </c>
      <c r="K168" s="235" t="str">
        <f>+K$3</f>
        <v>Act 2021 vs Bud 2021</v>
      </c>
      <c r="L168" s="372" t="str">
        <f>+L$3</f>
        <v>%</v>
      </c>
    </row>
    <row r="169" spans="1:12" x14ac:dyDescent="0.25">
      <c r="A169" s="1"/>
      <c r="B169" s="204" t="s">
        <v>106</v>
      </c>
      <c r="C169" s="3"/>
      <c r="D169" s="311">
        <v>68646.3</v>
      </c>
      <c r="E169" s="311">
        <v>61860</v>
      </c>
      <c r="F169" s="317">
        <v>63696.84</v>
      </c>
      <c r="H169" s="237">
        <f t="shared" ref="H169:H172" si="34">D169-E169</f>
        <v>6786.3000000000029</v>
      </c>
      <c r="I169" s="347">
        <f t="shared" ref="I169:I172" si="35">+H169/E169</f>
        <v>0.10970417070805048</v>
      </c>
      <c r="K169" s="237" t="e">
        <f>#REF!-#REF!</f>
        <v>#REF!</v>
      </c>
      <c r="L169" s="347" t="e">
        <f>+K169/#REF!</f>
        <v>#REF!</v>
      </c>
    </row>
    <row r="170" spans="1:12" x14ac:dyDescent="0.25">
      <c r="A170" s="1"/>
      <c r="B170" s="204" t="s">
        <v>107</v>
      </c>
      <c r="C170" s="3"/>
      <c r="D170" s="311">
        <v>17338.78</v>
      </c>
      <c r="E170" s="311">
        <v>17850</v>
      </c>
      <c r="F170" s="311">
        <v>16026.550000000001</v>
      </c>
      <c r="H170" s="237">
        <f t="shared" si="34"/>
        <v>-511.22000000000116</v>
      </c>
      <c r="I170" s="347">
        <f t="shared" si="35"/>
        <v>-2.863977591036421E-2</v>
      </c>
      <c r="K170" s="237" t="e">
        <f>#REF!-#REF!</f>
        <v>#REF!</v>
      </c>
      <c r="L170" s="347" t="e">
        <f>+K170/#REF!</f>
        <v>#REF!</v>
      </c>
    </row>
    <row r="171" spans="1:12" x14ac:dyDescent="0.25">
      <c r="A171" s="1"/>
      <c r="B171" s="204" t="s">
        <v>108</v>
      </c>
      <c r="C171" s="3"/>
      <c r="D171" s="311">
        <v>29893.410000000003</v>
      </c>
      <c r="E171" s="311">
        <v>19500</v>
      </c>
      <c r="F171" s="418">
        <v>20010.990000000002</v>
      </c>
      <c r="H171" s="246">
        <f t="shared" si="34"/>
        <v>10393.410000000003</v>
      </c>
      <c r="I171" s="349">
        <f t="shared" si="35"/>
        <v>0.53299538461538476</v>
      </c>
      <c r="K171" s="246" t="e">
        <f>#REF!-#REF!</f>
        <v>#REF!</v>
      </c>
      <c r="L171" s="349" t="e">
        <f>+K171/#REF!</f>
        <v>#REF!</v>
      </c>
    </row>
    <row r="172" spans="1:12" ht="15.75" thickBot="1" x14ac:dyDescent="0.3">
      <c r="A172" s="1"/>
      <c r="B172" s="206" t="s">
        <v>67</v>
      </c>
      <c r="C172" s="4"/>
      <c r="D172" s="343">
        <f>SUM(D169:D171)</f>
        <v>115878.49</v>
      </c>
      <c r="E172" s="343">
        <f>SUM(E169:E171)</f>
        <v>99210</v>
      </c>
      <c r="F172" s="343">
        <f>SUM(F169:F171)</f>
        <v>99734.38</v>
      </c>
      <c r="H172" s="241">
        <f t="shared" si="34"/>
        <v>16668.490000000005</v>
      </c>
      <c r="I172" s="353">
        <f t="shared" si="35"/>
        <v>0.16801219635117434</v>
      </c>
      <c r="K172" s="241" t="e">
        <f>#REF!-#REF!</f>
        <v>#REF!</v>
      </c>
      <c r="L172" s="353" t="e">
        <f>+K172/#REF!</f>
        <v>#REF!</v>
      </c>
    </row>
    <row r="173" spans="1:12" x14ac:dyDescent="0.25">
      <c r="A173" s="1"/>
      <c r="B173" s="48"/>
      <c r="C173" s="49"/>
      <c r="D173" s="76"/>
      <c r="E173" s="76"/>
      <c r="F173" s="76"/>
      <c r="H173" s="76"/>
      <c r="I173" s="232"/>
      <c r="K173" s="76"/>
      <c r="L173" s="232"/>
    </row>
  </sheetData>
  <pageMargins left="0.11811023622047245" right="0.11811023622047245" top="0.15748031496062992" bottom="0.35433070866141736" header="0.31496062992125984" footer="0.31496062992125984"/>
  <pageSetup scale="85" orientation="portrait" r:id="rId1"/>
  <rowBreaks count="3" manualBreakCount="3">
    <brk id="52" max="16383" man="1"/>
    <brk id="109" max="16383" man="1"/>
    <brk id="1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40B399292ED844BD46FA707F93906A" ma:contentTypeVersion="4" ma:contentTypeDescription="Create a new document." ma:contentTypeScope="" ma:versionID="5b1b3ce583010ce42c7cad393501cb64">
  <xsd:schema xmlns:xsd="http://www.w3.org/2001/XMLSchema" xmlns:xs="http://www.w3.org/2001/XMLSchema" xmlns:p="http://schemas.microsoft.com/office/2006/metadata/properties" xmlns:ns3="f45be7b9-bd9a-4b41-a11d-059d5f27e9c7" targetNamespace="http://schemas.microsoft.com/office/2006/metadata/properties" ma:root="true" ma:fieldsID="0597a7070734978d3ed3a1054d35e2d9" ns3:_="">
    <xsd:import namespace="f45be7b9-bd9a-4b41-a11d-059d5f27e9c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5be7b9-bd9a-4b41-a11d-059d5f27e9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B81300-6EE7-475A-AB0B-D116966B06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5be7b9-bd9a-4b41-a11d-059d5f27e9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04ABD4-1D05-41BF-A02A-5227DBD520FF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f45be7b9-bd9a-4b41-a11d-059d5f27e9c7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FDDB6D1-E5C0-4693-98D4-FEA214B30F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11</vt:i4>
      </vt:variant>
    </vt:vector>
  </HeadingPairs>
  <TitlesOfParts>
    <vt:vector size="33" baseType="lpstr">
      <vt:lpstr>NOT TO USE</vt:lpstr>
      <vt:lpstr>NOT TO USE.</vt:lpstr>
      <vt:lpstr>P&amp;L Actual 2023</vt:lpstr>
      <vt:lpstr>Var 2023</vt:lpstr>
      <vt:lpstr>Bal Sheet Actual 2023</vt:lpstr>
      <vt:lpstr>Capital 2023 </vt:lpstr>
      <vt:lpstr>Major 2023 </vt:lpstr>
      <vt:lpstr>Reserve Flow Actual--2023</vt:lpstr>
      <vt:lpstr>P&amp;L Q1 2024</vt:lpstr>
      <vt:lpstr>Var 2024</vt:lpstr>
      <vt:lpstr>Bal Sheet Q1 2024</vt:lpstr>
      <vt:lpstr>Capital Q1 2024</vt:lpstr>
      <vt:lpstr>Major Q1 2024 </vt:lpstr>
      <vt:lpstr>Reserve Flow Q1 2024</vt:lpstr>
      <vt:lpstr>Retained earnings..</vt:lpstr>
      <vt:lpstr>Insurance</vt:lpstr>
      <vt:lpstr>FUEL FACTOR  FORTIS</vt:lpstr>
      <vt:lpstr>P&amp;L Budget 2024</vt:lpstr>
      <vt:lpstr>Capital budget 2024</vt:lpstr>
      <vt:lpstr>Major budget 2024 </vt:lpstr>
      <vt:lpstr>Reserve Flow Budget 2024</vt:lpstr>
      <vt:lpstr>Sheet1</vt:lpstr>
      <vt:lpstr>'Bal Sheet Actual 2023'!Print_Area</vt:lpstr>
      <vt:lpstr>'Bal Sheet Q1 2024'!Print_Area</vt:lpstr>
      <vt:lpstr>'Capital 2023 '!Print_Area</vt:lpstr>
      <vt:lpstr>'Capital Q1 2024'!Print_Area</vt:lpstr>
      <vt:lpstr>'Major 2023 '!Print_Area</vt:lpstr>
      <vt:lpstr>'Major Q1 2024 '!Print_Area</vt:lpstr>
      <vt:lpstr>'NOT TO USE.'!Print_Area</vt:lpstr>
      <vt:lpstr>'Reserve Flow Actual--2023'!Print_Area</vt:lpstr>
      <vt:lpstr>'Retained earnings..'!Print_Area</vt:lpstr>
      <vt:lpstr>'Var 2023'!Print_Area</vt:lpstr>
      <vt:lpstr>'Var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Rhondi Hobson</dc:creator>
  <cp:lastModifiedBy>Dawn Jules</cp:lastModifiedBy>
  <cp:lastPrinted>2024-06-26T12:18:53Z</cp:lastPrinted>
  <dcterms:created xsi:type="dcterms:W3CDTF">2021-03-11T12:45:08Z</dcterms:created>
  <dcterms:modified xsi:type="dcterms:W3CDTF">2024-06-26T12:18:58Z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0x0101006540B399292ED844BD46FA707F93906A</vt:lpwstr>
  </property>
</Properties>
</file>